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10" yWindow="555" windowWidth="12135" windowHeight="7620" activeTab="1"/>
  </bookViews>
  <sheets>
    <sheet name="Início" sheetId="1" r:id="rId1"/>
    <sheet name="Proposta" sheetId="2" r:id="rId2"/>
    <sheet name="Proposta_Rel" sheetId="3" state="hidden" r:id="rId3"/>
    <sheet name="Amortizações" sheetId="4" state="hidden" r:id="rId4"/>
    <sheet name="Teste-carência" sheetId="5" state="hidden" r:id="rId5"/>
    <sheet name="Cálculo1" sheetId="6" state="hidden" r:id="rId6"/>
    <sheet name="Cálculo1-A" sheetId="7" state="hidden" r:id="rId7"/>
    <sheet name="Cálculo2" sheetId="8" state="hidden" r:id="rId8"/>
    <sheet name="Cálculo2-A" sheetId="9" state="hidden" r:id="rId9"/>
    <sheet name="Cálculo3" sheetId="10" state="hidden" r:id="rId10"/>
    <sheet name="Capacidade_de_Pagamento" sheetId="11" r:id="rId11"/>
    <sheet name="Capacidade_de_Pagamento-Temp" sheetId="12" state="hidden" r:id="rId12"/>
    <sheet name="Capacidade_de_Pagamento-Temp-A" sheetId="13" state="hidden" r:id="rId13"/>
    <sheet name="Tabela" sheetId="14" state="hidden" r:id="rId14"/>
  </sheets>
  <calcPr calcId="145621"/>
</workbook>
</file>

<file path=xl/calcChain.xml><?xml version="1.0" encoding="utf-8"?>
<calcChain xmlns="http://schemas.openxmlformats.org/spreadsheetml/2006/main">
  <c r="AA118" i="14" l="1"/>
  <c r="AA117" i="14"/>
  <c r="AA116" i="14"/>
  <c r="AA115" i="14"/>
  <c r="AA114" i="14"/>
  <c r="AA113" i="14"/>
  <c r="AA112" i="14"/>
  <c r="AA111" i="14"/>
  <c r="AA110" i="14"/>
  <c r="AA109" i="14"/>
  <c r="AA108" i="14"/>
  <c r="AA107" i="14"/>
  <c r="AA106" i="14"/>
  <c r="AA105" i="14"/>
  <c r="AA104" i="14"/>
  <c r="AA103" i="14"/>
  <c r="AA102" i="14"/>
  <c r="AA101" i="14"/>
  <c r="AA100" i="14"/>
  <c r="AA99" i="14"/>
  <c r="AC86" i="14"/>
  <c r="AB86" i="14"/>
  <c r="AB118" i="14" s="1"/>
  <c r="AB85" i="14"/>
  <c r="AB84" i="14"/>
  <c r="AD81" i="14"/>
  <c r="AC81" i="14"/>
  <c r="AD80" i="14"/>
  <c r="AC80" i="14"/>
  <c r="AD79" i="14"/>
  <c r="AC79" i="14"/>
  <c r="AD78" i="14"/>
  <c r="AC78" i="14"/>
  <c r="AD77" i="14"/>
  <c r="AC77" i="14"/>
  <c r="AD76" i="14"/>
  <c r="AC76" i="14"/>
  <c r="AD75" i="14"/>
  <c r="AC75" i="14"/>
  <c r="AD74" i="14"/>
  <c r="AC74" i="14"/>
  <c r="AD73" i="14"/>
  <c r="AC73" i="14"/>
  <c r="AD72" i="14"/>
  <c r="AC72" i="14"/>
  <c r="AD71" i="14"/>
  <c r="AC71" i="14"/>
  <c r="AD70" i="14"/>
  <c r="AC70" i="14"/>
  <c r="AD69" i="14"/>
  <c r="AC69" i="14"/>
  <c r="AD68" i="14"/>
  <c r="AC68" i="14"/>
  <c r="AD67" i="14"/>
  <c r="AC67" i="14"/>
  <c r="AD66" i="14"/>
  <c r="AC66" i="14"/>
  <c r="AD65" i="14"/>
  <c r="AC65" i="14"/>
  <c r="AD64" i="14"/>
  <c r="AC64" i="14"/>
  <c r="AD63" i="14"/>
  <c r="AC63" i="14"/>
  <c r="AD62" i="14"/>
  <c r="AC62" i="14"/>
  <c r="AD61" i="14"/>
  <c r="AC61" i="14"/>
  <c r="AD60" i="14"/>
  <c r="AC60" i="14"/>
  <c r="AD59" i="14"/>
  <c r="AC59" i="14"/>
  <c r="AD58" i="14"/>
  <c r="AC58" i="14"/>
  <c r="AD57" i="14"/>
  <c r="AC57" i="14"/>
  <c r="AD56" i="14"/>
  <c r="AC56" i="14"/>
  <c r="AD55" i="14"/>
  <c r="AC55" i="14"/>
  <c r="AD54" i="14"/>
  <c r="AC54" i="14"/>
  <c r="AC53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R21" i="14"/>
  <c r="L21" i="14"/>
  <c r="AC20" i="14"/>
  <c r="R20" i="14"/>
  <c r="L20" i="14"/>
  <c r="AC19" i="14"/>
  <c r="R19" i="14"/>
  <c r="L19" i="14"/>
  <c r="AC18" i="14"/>
  <c r="R18" i="14"/>
  <c r="L18" i="14"/>
  <c r="AC17" i="14"/>
  <c r="R17" i="14"/>
  <c r="L17" i="14"/>
  <c r="AC16" i="14"/>
  <c r="R16" i="14"/>
  <c r="L16" i="14"/>
  <c r="AC15" i="14"/>
  <c r="R15" i="14"/>
  <c r="L15" i="14"/>
  <c r="AC14" i="14"/>
  <c r="R14" i="14"/>
  <c r="L14" i="14"/>
  <c r="AC13" i="14"/>
  <c r="R13" i="14"/>
  <c r="L13" i="14"/>
  <c r="AC12" i="14"/>
  <c r="R12" i="14"/>
  <c r="L12" i="14"/>
  <c r="R11" i="14"/>
  <c r="L11" i="14"/>
  <c r="R10" i="14"/>
  <c r="L10" i="14"/>
  <c r="R9" i="14"/>
  <c r="L9" i="14"/>
  <c r="R8" i="14"/>
  <c r="L8" i="14"/>
  <c r="R7" i="14"/>
  <c r="L7" i="14"/>
  <c r="V6" i="14"/>
  <c r="W6" i="14" s="1"/>
  <c r="R6" i="14"/>
  <c r="L6" i="14"/>
  <c r="V5" i="14"/>
  <c r="R5" i="14"/>
  <c r="L5" i="14"/>
  <c r="V4" i="14"/>
  <c r="W4" i="14" s="1"/>
  <c r="X4" i="14" s="1"/>
  <c r="R4" i="14"/>
  <c r="L4" i="14"/>
  <c r="W3" i="14"/>
  <c r="X3" i="14" s="1"/>
  <c r="V3" i="14"/>
  <c r="R3" i="14"/>
  <c r="L3" i="14"/>
  <c r="W2" i="14"/>
  <c r="X2" i="14" s="1"/>
  <c r="R2" i="14"/>
  <c r="L2" i="14"/>
  <c r="M119" i="13"/>
  <c r="O114" i="13"/>
  <c r="M114" i="13"/>
  <c r="M108" i="13"/>
  <c r="I108" i="13"/>
  <c r="M107" i="13"/>
  <c r="I107" i="13"/>
  <c r="M106" i="13"/>
  <c r="I106" i="13"/>
  <c r="M105" i="13"/>
  <c r="I105" i="13"/>
  <c r="M104" i="13"/>
  <c r="M103" i="13"/>
  <c r="M102" i="13"/>
  <c r="M101" i="13"/>
  <c r="Q94" i="13"/>
  <c r="Q92" i="13"/>
  <c r="Q91" i="13"/>
  <c r="Q90" i="13"/>
  <c r="Q89" i="13"/>
  <c r="Q88" i="13"/>
  <c r="Q87" i="13"/>
  <c r="Q86" i="13"/>
  <c r="Q85" i="13"/>
  <c r="Q93" i="13" s="1"/>
  <c r="AE67" i="13"/>
  <c r="AD67" i="13"/>
  <c r="AC67" i="13"/>
  <c r="AB67" i="13"/>
  <c r="AA67" i="13"/>
  <c r="Z67" i="13"/>
  <c r="Y67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I67" i="13"/>
  <c r="AE66" i="13"/>
  <c r="AD66" i="13"/>
  <c r="AC66" i="13"/>
  <c r="AB66" i="13"/>
  <c r="AA66" i="13"/>
  <c r="Z66" i="13"/>
  <c r="Y66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I66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I65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AE38" i="13"/>
  <c r="AD38" i="13"/>
  <c r="AC38" i="13"/>
  <c r="AB38" i="13"/>
  <c r="AA3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AE16" i="13"/>
  <c r="AD16" i="13"/>
  <c r="AC16" i="13"/>
  <c r="AB16" i="13"/>
  <c r="AA16" i="13"/>
  <c r="Z16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M119" i="12"/>
  <c r="O114" i="12"/>
  <c r="M114" i="12"/>
  <c r="M108" i="12"/>
  <c r="I108" i="12"/>
  <c r="M107" i="12"/>
  <c r="I107" i="12"/>
  <c r="M106" i="12"/>
  <c r="I106" i="12"/>
  <c r="M105" i="12"/>
  <c r="I105" i="12"/>
  <c r="M104" i="12"/>
  <c r="M103" i="12"/>
  <c r="M102" i="12"/>
  <c r="M101" i="12"/>
  <c r="Q94" i="12"/>
  <c r="Q92" i="12"/>
  <c r="Q91" i="12"/>
  <c r="Q90" i="12"/>
  <c r="Q89" i="12"/>
  <c r="Q88" i="12"/>
  <c r="Q87" i="12"/>
  <c r="Q86" i="12"/>
  <c r="Q85" i="12"/>
  <c r="Q93" i="12" s="1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I67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I66" i="12"/>
  <c r="AE65" i="12"/>
  <c r="AD65" i="12"/>
  <c r="AD64" i="12" s="1"/>
  <c r="AC65" i="12"/>
  <c r="AB65" i="12"/>
  <c r="AA65" i="12"/>
  <c r="Z65" i="12"/>
  <c r="Z64" i="12" s="1"/>
  <c r="Y65" i="12"/>
  <c r="X65" i="12"/>
  <c r="W65" i="12"/>
  <c r="V65" i="12"/>
  <c r="V64" i="12" s="1"/>
  <c r="U65" i="12"/>
  <c r="T65" i="12"/>
  <c r="S65" i="12"/>
  <c r="R65" i="12"/>
  <c r="R64" i="12" s="1"/>
  <c r="Q65" i="12"/>
  <c r="P65" i="12"/>
  <c r="O65" i="12"/>
  <c r="N65" i="12"/>
  <c r="N64" i="12" s="1"/>
  <c r="M65" i="12"/>
  <c r="L65" i="12"/>
  <c r="I65" i="12"/>
  <c r="AE64" i="12"/>
  <c r="AC64" i="12"/>
  <c r="AB64" i="12"/>
  <c r="AA64" i="12"/>
  <c r="Y64" i="12"/>
  <c r="X64" i="12"/>
  <c r="W64" i="12"/>
  <c r="U64" i="12"/>
  <c r="T64" i="12"/>
  <c r="S64" i="12"/>
  <c r="Q64" i="12"/>
  <c r="P64" i="12"/>
  <c r="O64" i="12"/>
  <c r="M64" i="12"/>
  <c r="L64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I139" i="11"/>
  <c r="I162" i="11" s="1"/>
  <c r="I138" i="11"/>
  <c r="I161" i="11" s="1"/>
  <c r="I137" i="11"/>
  <c r="I160" i="11" s="1"/>
  <c r="I136" i="11"/>
  <c r="I159" i="11" s="1"/>
  <c r="I135" i="11"/>
  <c r="I158" i="11" s="1"/>
  <c r="I134" i="11"/>
  <c r="I157" i="11" s="1"/>
  <c r="I133" i="11"/>
  <c r="I156" i="11" s="1"/>
  <c r="I132" i="11"/>
  <c r="I155" i="11" s="1"/>
  <c r="I131" i="11"/>
  <c r="I154" i="11" s="1"/>
  <c r="I130" i="11"/>
  <c r="I153" i="11" s="1"/>
  <c r="I129" i="11"/>
  <c r="I152" i="11" s="1"/>
  <c r="I128" i="11"/>
  <c r="I151" i="11" s="1"/>
  <c r="I127" i="11"/>
  <c r="I150" i="11" s="1"/>
  <c r="I126" i="11"/>
  <c r="I149" i="11" s="1"/>
  <c r="I125" i="11"/>
  <c r="I148" i="11" s="1"/>
  <c r="I124" i="11"/>
  <c r="I147" i="11" s="1"/>
  <c r="I123" i="11"/>
  <c r="I146" i="11" s="1"/>
  <c r="I122" i="11"/>
  <c r="I145" i="11" s="1"/>
  <c r="I121" i="11"/>
  <c r="I144" i="11" s="1"/>
  <c r="I120" i="11"/>
  <c r="I143" i="11" s="1"/>
  <c r="I109" i="11"/>
  <c r="I88" i="11"/>
  <c r="I87" i="11"/>
  <c r="I66" i="11"/>
  <c r="I65" i="11"/>
  <c r="I64" i="11"/>
  <c r="I63" i="11"/>
  <c r="I62" i="11"/>
  <c r="I58" i="11"/>
  <c r="I108" i="11" s="1"/>
  <c r="I57" i="11"/>
  <c r="I107" i="11" s="1"/>
  <c r="I56" i="11"/>
  <c r="I106" i="11" s="1"/>
  <c r="I55" i="11"/>
  <c r="I105" i="11" s="1"/>
  <c r="I54" i="11"/>
  <c r="I104" i="11" s="1"/>
  <c r="I53" i="11"/>
  <c r="I103" i="11" s="1"/>
  <c r="I52" i="11"/>
  <c r="I102" i="11" s="1"/>
  <c r="I51" i="11"/>
  <c r="I101" i="11" s="1"/>
  <c r="I50" i="11"/>
  <c r="I100" i="11" s="1"/>
  <c r="I49" i="11"/>
  <c r="I99" i="11" s="1"/>
  <c r="I48" i="11"/>
  <c r="I98" i="11" s="1"/>
  <c r="I47" i="11"/>
  <c r="I97" i="11" s="1"/>
  <c r="I46" i="11"/>
  <c r="I96" i="11" s="1"/>
  <c r="I45" i="11"/>
  <c r="I95" i="11" s="1"/>
  <c r="I44" i="11"/>
  <c r="I94" i="11" s="1"/>
  <c r="I43" i="11"/>
  <c r="I93" i="11" s="1"/>
  <c r="I42" i="11"/>
  <c r="I92" i="11" s="1"/>
  <c r="I41" i="11"/>
  <c r="I91" i="11" s="1"/>
  <c r="I40" i="11"/>
  <c r="I90" i="11" s="1"/>
  <c r="I39" i="11"/>
  <c r="I89" i="11" s="1"/>
  <c r="I36" i="11"/>
  <c r="I86" i="11" s="1"/>
  <c r="I35" i="11"/>
  <c r="I85" i="11" s="1"/>
  <c r="I34" i="11"/>
  <c r="I84" i="11" s="1"/>
  <c r="I33" i="11"/>
  <c r="I83" i="11" s="1"/>
  <c r="I32" i="11"/>
  <c r="I82" i="11" s="1"/>
  <c r="I31" i="11"/>
  <c r="I81" i="11" s="1"/>
  <c r="I30" i="11"/>
  <c r="I80" i="11" s="1"/>
  <c r="I29" i="11"/>
  <c r="I79" i="11" s="1"/>
  <c r="I28" i="11"/>
  <c r="I78" i="11" s="1"/>
  <c r="I27" i="11"/>
  <c r="I77" i="11" s="1"/>
  <c r="I26" i="11"/>
  <c r="I76" i="11" s="1"/>
  <c r="I25" i="11"/>
  <c r="I75" i="11" s="1"/>
  <c r="I24" i="11"/>
  <c r="I74" i="11" s="1"/>
  <c r="I23" i="11"/>
  <c r="I73" i="11" s="1"/>
  <c r="I22" i="11"/>
  <c r="I72" i="11" s="1"/>
  <c r="I21" i="11"/>
  <c r="I71" i="11" s="1"/>
  <c r="I20" i="11"/>
  <c r="I70" i="11" s="1"/>
  <c r="I19" i="11"/>
  <c r="I69" i="11" s="1"/>
  <c r="I18" i="11"/>
  <c r="I68" i="11" s="1"/>
  <c r="I17" i="11"/>
  <c r="I67" i="11" s="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J9" i="11"/>
  <c r="I9" i="11"/>
  <c r="J8" i="11"/>
  <c r="J7" i="11"/>
  <c r="I7" i="11"/>
  <c r="J6" i="11"/>
  <c r="I6" i="11"/>
  <c r="U3" i="11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E10" i="10"/>
  <c r="K9" i="10"/>
  <c r="G9" i="10"/>
  <c r="G10" i="10" s="1"/>
  <c r="G7" i="10"/>
  <c r="F7" i="10"/>
  <c r="D7" i="10"/>
  <c r="E31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G9" i="9"/>
  <c r="K9" i="9" s="1"/>
  <c r="G7" i="9"/>
  <c r="J29" i="8"/>
  <c r="E29" i="8"/>
  <c r="J28" i="8"/>
  <c r="E28" i="8"/>
  <c r="J27" i="8"/>
  <c r="E27" i="8"/>
  <c r="J26" i="8"/>
  <c r="E26" i="8"/>
  <c r="J25" i="8"/>
  <c r="E25" i="8"/>
  <c r="J24" i="8"/>
  <c r="E24" i="8"/>
  <c r="J23" i="8"/>
  <c r="E23" i="8"/>
  <c r="J22" i="8"/>
  <c r="E22" i="8"/>
  <c r="J21" i="8"/>
  <c r="E21" i="8"/>
  <c r="J20" i="8"/>
  <c r="E20" i="8"/>
  <c r="J19" i="8"/>
  <c r="E19" i="8"/>
  <c r="J18" i="8"/>
  <c r="E18" i="8"/>
  <c r="J17" i="8"/>
  <c r="E17" i="8"/>
  <c r="J16" i="8"/>
  <c r="J15" i="8"/>
  <c r="J14" i="8"/>
  <c r="J13" i="8"/>
  <c r="J12" i="8"/>
  <c r="J11" i="8"/>
  <c r="E11" i="8"/>
  <c r="J10" i="8"/>
  <c r="E10" i="8"/>
  <c r="G9" i="8"/>
  <c r="E13" i="8" s="1"/>
  <c r="G7" i="8"/>
  <c r="E31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D12" i="7" s="1"/>
  <c r="F12" i="7" s="1"/>
  <c r="J11" i="7"/>
  <c r="D11" i="7" s="1"/>
  <c r="F11" i="7" s="1"/>
  <c r="J10" i="7"/>
  <c r="F10" i="7"/>
  <c r="D10" i="7"/>
  <c r="K9" i="7"/>
  <c r="K10" i="7" s="1"/>
  <c r="G9" i="7"/>
  <c r="C10" i="7" s="1"/>
  <c r="G7" i="7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D12" i="6" s="1"/>
  <c r="F12" i="6" s="1"/>
  <c r="E12" i="6"/>
  <c r="J11" i="6"/>
  <c r="D11" i="6" s="1"/>
  <c r="F11" i="6" s="1"/>
  <c r="E11" i="6"/>
  <c r="J10" i="6"/>
  <c r="E10" i="6"/>
  <c r="D10" i="6"/>
  <c r="G9" i="6"/>
  <c r="E25" i="6" s="1"/>
  <c r="G7" i="6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AC34" i="5"/>
  <c r="AC48" i="5" s="1"/>
  <c r="AB34" i="5"/>
  <c r="AB48" i="5" s="1"/>
  <c r="AA34" i="5"/>
  <c r="AA48" i="5" s="1"/>
  <c r="Z34" i="5"/>
  <c r="Z48" i="5" s="1"/>
  <c r="Y34" i="5"/>
  <c r="Y48" i="5" s="1"/>
  <c r="X34" i="5"/>
  <c r="X48" i="5" s="1"/>
  <c r="W34" i="5"/>
  <c r="W48" i="5" s="1"/>
  <c r="V34" i="5"/>
  <c r="V48" i="5" s="1"/>
  <c r="U34" i="5"/>
  <c r="U48" i="5" s="1"/>
  <c r="T34" i="5"/>
  <c r="T48" i="5" s="1"/>
  <c r="S34" i="5"/>
  <c r="S48" i="5" s="1"/>
  <c r="R34" i="5"/>
  <c r="R48" i="5" s="1"/>
  <c r="Q34" i="5"/>
  <c r="Q48" i="5" s="1"/>
  <c r="P34" i="5"/>
  <c r="P48" i="5" s="1"/>
  <c r="O34" i="5"/>
  <c r="O48" i="5" s="1"/>
  <c r="N34" i="5"/>
  <c r="N48" i="5" s="1"/>
  <c r="M34" i="5"/>
  <c r="M48" i="5" s="1"/>
  <c r="L34" i="5"/>
  <c r="L48" i="5" s="1"/>
  <c r="K34" i="5"/>
  <c r="K48" i="5" s="1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AC8" i="5"/>
  <c r="AC40" i="5" s="1"/>
  <c r="AC43" i="5" s="1"/>
  <c r="AB8" i="5"/>
  <c r="AB40" i="5" s="1"/>
  <c r="AB43" i="5" s="1"/>
  <c r="AA8" i="5"/>
  <c r="AA40" i="5" s="1"/>
  <c r="AA43" i="5" s="1"/>
  <c r="Z8" i="5"/>
  <c r="Z40" i="5" s="1"/>
  <c r="Z43" i="5" s="1"/>
  <c r="Y8" i="5"/>
  <c r="Y40" i="5" s="1"/>
  <c r="Y43" i="5" s="1"/>
  <c r="X8" i="5"/>
  <c r="X40" i="5" s="1"/>
  <c r="X43" i="5" s="1"/>
  <c r="W8" i="5"/>
  <c r="W40" i="5" s="1"/>
  <c r="W43" i="5" s="1"/>
  <c r="V8" i="5"/>
  <c r="V40" i="5" s="1"/>
  <c r="V43" i="5" s="1"/>
  <c r="U8" i="5"/>
  <c r="U40" i="5" s="1"/>
  <c r="U43" i="5" s="1"/>
  <c r="T8" i="5"/>
  <c r="T40" i="5" s="1"/>
  <c r="T43" i="5" s="1"/>
  <c r="S8" i="5"/>
  <c r="S40" i="5" s="1"/>
  <c r="S43" i="5" s="1"/>
  <c r="R8" i="5"/>
  <c r="R40" i="5" s="1"/>
  <c r="R43" i="5" s="1"/>
  <c r="Q8" i="5"/>
  <c r="Q40" i="5" s="1"/>
  <c r="Q43" i="5" s="1"/>
  <c r="P8" i="5"/>
  <c r="P40" i="5" s="1"/>
  <c r="P43" i="5" s="1"/>
  <c r="O8" i="5"/>
  <c r="O40" i="5" s="1"/>
  <c r="O43" i="5" s="1"/>
  <c r="N8" i="5"/>
  <c r="N40" i="5" s="1"/>
  <c r="N43" i="5" s="1"/>
  <c r="M8" i="5"/>
  <c r="M40" i="5" s="1"/>
  <c r="M43" i="5" s="1"/>
  <c r="L8" i="5"/>
  <c r="L40" i="5" s="1"/>
  <c r="L43" i="5" s="1"/>
  <c r="K8" i="5"/>
  <c r="K40" i="5" s="1"/>
  <c r="K43" i="5" s="1"/>
  <c r="J8" i="5"/>
  <c r="J40" i="5" s="1"/>
  <c r="AC50" i="4"/>
  <c r="M21" i="14" s="1"/>
  <c r="AB50" i="4"/>
  <c r="M20" i="14" s="1"/>
  <c r="AA50" i="4"/>
  <c r="M19" i="14" s="1"/>
  <c r="Z50" i="4"/>
  <c r="M18" i="14" s="1"/>
  <c r="Y50" i="4"/>
  <c r="M17" i="14" s="1"/>
  <c r="X50" i="4"/>
  <c r="M16" i="14" s="1"/>
  <c r="W50" i="4"/>
  <c r="M15" i="14" s="1"/>
  <c r="V50" i="4"/>
  <c r="M14" i="14" s="1"/>
  <c r="U50" i="4"/>
  <c r="M13" i="14" s="1"/>
  <c r="T50" i="4"/>
  <c r="M12" i="14" s="1"/>
  <c r="S50" i="4"/>
  <c r="M11" i="14" s="1"/>
  <c r="R50" i="4"/>
  <c r="M10" i="14" s="1"/>
  <c r="Q50" i="4"/>
  <c r="M9" i="14" s="1"/>
  <c r="P50" i="4"/>
  <c r="M8" i="14" s="1"/>
  <c r="O50" i="4"/>
  <c r="M7" i="14" s="1"/>
  <c r="N50" i="4"/>
  <c r="M6" i="14" s="1"/>
  <c r="M50" i="4"/>
  <c r="M5" i="14" s="1"/>
  <c r="L50" i="4"/>
  <c r="M4" i="14" s="1"/>
  <c r="K50" i="4"/>
  <c r="M3" i="14" s="1"/>
  <c r="J50" i="4"/>
  <c r="M2" i="14" s="1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AC34" i="4"/>
  <c r="AC48" i="4" s="1"/>
  <c r="AB34" i="4"/>
  <c r="AB48" i="4" s="1"/>
  <c r="AA34" i="4"/>
  <c r="AA48" i="4" s="1"/>
  <c r="Z34" i="4"/>
  <c r="Z48" i="4" s="1"/>
  <c r="Y34" i="4"/>
  <c r="Y48" i="4" s="1"/>
  <c r="X34" i="4"/>
  <c r="X48" i="4" s="1"/>
  <c r="W34" i="4"/>
  <c r="W48" i="4" s="1"/>
  <c r="V34" i="4"/>
  <c r="V48" i="4" s="1"/>
  <c r="U34" i="4"/>
  <c r="U48" i="4" s="1"/>
  <c r="T34" i="4"/>
  <c r="T48" i="4" s="1"/>
  <c r="S34" i="4"/>
  <c r="S48" i="4" s="1"/>
  <c r="R34" i="4"/>
  <c r="R48" i="4" s="1"/>
  <c r="Q34" i="4"/>
  <c r="Q48" i="4" s="1"/>
  <c r="P34" i="4"/>
  <c r="P48" i="4" s="1"/>
  <c r="O34" i="4"/>
  <c r="O48" i="4" s="1"/>
  <c r="N34" i="4"/>
  <c r="N48" i="4" s="1"/>
  <c r="M34" i="4"/>
  <c r="M48" i="4" s="1"/>
  <c r="L34" i="4"/>
  <c r="L48" i="4" s="1"/>
  <c r="K34" i="4"/>
  <c r="K48" i="4" s="1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5" i="4"/>
  <c r="AG4" i="4"/>
  <c r="J87" i="3"/>
  <c r="E87" i="3"/>
  <c r="E86" i="3"/>
  <c r="E85" i="3"/>
  <c r="J83" i="3"/>
  <c r="J79" i="3"/>
  <c r="K72" i="3"/>
  <c r="D72" i="3" s="1"/>
  <c r="E71" i="3"/>
  <c r="E72" i="3" s="1"/>
  <c r="E73" i="3" s="1"/>
  <c r="E74" i="3" s="1"/>
  <c r="K64" i="3"/>
  <c r="D64" i="3" s="1"/>
  <c r="E63" i="3"/>
  <c r="E64" i="3" s="1"/>
  <c r="E65" i="3" s="1"/>
  <c r="E66" i="3" s="1"/>
  <c r="N61" i="3"/>
  <c r="M61" i="3"/>
  <c r="K61" i="3"/>
  <c r="E61" i="3" s="1"/>
  <c r="N60" i="3"/>
  <c r="M60" i="3"/>
  <c r="K60" i="3"/>
  <c r="E60" i="3" s="1"/>
  <c r="N59" i="3"/>
  <c r="M59" i="3"/>
  <c r="K59" i="3"/>
  <c r="E59" i="3"/>
  <c r="N58" i="3"/>
  <c r="M58" i="3"/>
  <c r="K58" i="3"/>
  <c r="E58" i="3"/>
  <c r="N57" i="3"/>
  <c r="M57" i="3"/>
  <c r="K57" i="3"/>
  <c r="E57" i="3" s="1"/>
  <c r="N56" i="3"/>
  <c r="M56" i="3"/>
  <c r="K56" i="3"/>
  <c r="E56" i="3" s="1"/>
  <c r="N55" i="3"/>
  <c r="M55" i="3"/>
  <c r="K55" i="3"/>
  <c r="E55" i="3"/>
  <c r="N54" i="3"/>
  <c r="M54" i="3"/>
  <c r="K54" i="3"/>
  <c r="E54" i="3"/>
  <c r="N53" i="3"/>
  <c r="M53" i="3"/>
  <c r="K53" i="3"/>
  <c r="E53" i="3" s="1"/>
  <c r="N52" i="3"/>
  <c r="M52" i="3"/>
  <c r="K52" i="3"/>
  <c r="E52" i="3" s="1"/>
  <c r="N51" i="3"/>
  <c r="M51" i="3"/>
  <c r="K51" i="3"/>
  <c r="E51" i="3"/>
  <c r="N50" i="3"/>
  <c r="M50" i="3"/>
  <c r="K50" i="3"/>
  <c r="E50" i="3"/>
  <c r="N49" i="3"/>
  <c r="M49" i="3"/>
  <c r="K49" i="3"/>
  <c r="E49" i="3" s="1"/>
  <c r="N48" i="3"/>
  <c r="M48" i="3"/>
  <c r="K48" i="3"/>
  <c r="E48" i="3" s="1"/>
  <c r="N47" i="3"/>
  <c r="M47" i="3"/>
  <c r="K47" i="3"/>
  <c r="E47" i="3"/>
  <c r="N46" i="3"/>
  <c r="M46" i="3"/>
  <c r="K46" i="3"/>
  <c r="E46" i="3"/>
  <c r="N45" i="3"/>
  <c r="M45" i="3"/>
  <c r="K45" i="3"/>
  <c r="E45" i="3" s="1"/>
  <c r="N44" i="3"/>
  <c r="M44" i="3"/>
  <c r="K44" i="3"/>
  <c r="E44" i="3" s="1"/>
  <c r="N43" i="3"/>
  <c r="M43" i="3"/>
  <c r="K43" i="3"/>
  <c r="E43" i="3"/>
  <c r="N42" i="3"/>
  <c r="M42" i="3"/>
  <c r="K42" i="3"/>
  <c r="E42" i="3"/>
  <c r="L36" i="3"/>
  <c r="V32" i="3"/>
  <c r="T32" i="3"/>
  <c r="R32" i="3"/>
  <c r="Q32" i="3"/>
  <c r="P32" i="3"/>
  <c r="O32" i="3"/>
  <c r="M32" i="3"/>
  <c r="K32" i="3"/>
  <c r="V31" i="3"/>
  <c r="T31" i="3"/>
  <c r="R31" i="3"/>
  <c r="Q31" i="3"/>
  <c r="P31" i="3"/>
  <c r="O31" i="3"/>
  <c r="M31" i="3"/>
  <c r="K31" i="3"/>
  <c r="V30" i="3"/>
  <c r="T30" i="3"/>
  <c r="R30" i="3"/>
  <c r="Q30" i="3"/>
  <c r="P30" i="3"/>
  <c r="O30" i="3"/>
  <c r="M30" i="3"/>
  <c r="K30" i="3"/>
  <c r="V29" i="3"/>
  <c r="T29" i="3"/>
  <c r="R29" i="3"/>
  <c r="Q29" i="3"/>
  <c r="P29" i="3"/>
  <c r="O29" i="3"/>
  <c r="M29" i="3"/>
  <c r="K29" i="3"/>
  <c r="V28" i="3"/>
  <c r="T28" i="3"/>
  <c r="R28" i="3"/>
  <c r="Q28" i="3"/>
  <c r="P28" i="3"/>
  <c r="O28" i="3"/>
  <c r="M28" i="3"/>
  <c r="K28" i="3"/>
  <c r="V27" i="3"/>
  <c r="T27" i="3"/>
  <c r="R27" i="3"/>
  <c r="Q27" i="3"/>
  <c r="P27" i="3"/>
  <c r="O27" i="3"/>
  <c r="M27" i="3"/>
  <c r="K27" i="3"/>
  <c r="V26" i="3"/>
  <c r="T26" i="3"/>
  <c r="R26" i="3"/>
  <c r="Q26" i="3"/>
  <c r="P26" i="3"/>
  <c r="O26" i="3"/>
  <c r="M26" i="3"/>
  <c r="K26" i="3"/>
  <c r="V25" i="3"/>
  <c r="T25" i="3"/>
  <c r="R25" i="3"/>
  <c r="Q25" i="3"/>
  <c r="P25" i="3"/>
  <c r="O25" i="3"/>
  <c r="M25" i="3"/>
  <c r="K25" i="3"/>
  <c r="V24" i="3"/>
  <c r="T24" i="3"/>
  <c r="R24" i="3"/>
  <c r="Q24" i="3"/>
  <c r="P24" i="3"/>
  <c r="O24" i="3"/>
  <c r="M24" i="3"/>
  <c r="K24" i="3"/>
  <c r="V23" i="3"/>
  <c r="T23" i="3"/>
  <c r="R23" i="3"/>
  <c r="Q23" i="3"/>
  <c r="P23" i="3"/>
  <c r="O23" i="3"/>
  <c r="M23" i="3"/>
  <c r="K23" i="3"/>
  <c r="V22" i="3"/>
  <c r="T22" i="3"/>
  <c r="R22" i="3"/>
  <c r="Q22" i="3"/>
  <c r="P22" i="3"/>
  <c r="O22" i="3"/>
  <c r="M22" i="3"/>
  <c r="K22" i="3"/>
  <c r="V21" i="3"/>
  <c r="T21" i="3"/>
  <c r="R21" i="3"/>
  <c r="Q21" i="3"/>
  <c r="P21" i="3"/>
  <c r="O21" i="3"/>
  <c r="M21" i="3"/>
  <c r="K21" i="3"/>
  <c r="V20" i="3"/>
  <c r="T20" i="3"/>
  <c r="R20" i="3"/>
  <c r="Q20" i="3"/>
  <c r="P20" i="3"/>
  <c r="O20" i="3"/>
  <c r="M20" i="3"/>
  <c r="K20" i="3"/>
  <c r="V19" i="3"/>
  <c r="T19" i="3"/>
  <c r="R19" i="3"/>
  <c r="Q19" i="3"/>
  <c r="P19" i="3"/>
  <c r="O19" i="3"/>
  <c r="M19" i="3"/>
  <c r="K19" i="3"/>
  <c r="V18" i="3"/>
  <c r="T18" i="3"/>
  <c r="R18" i="3"/>
  <c r="Q18" i="3"/>
  <c r="P18" i="3"/>
  <c r="O18" i="3"/>
  <c r="M18" i="3"/>
  <c r="K18" i="3"/>
  <c r="V17" i="3"/>
  <c r="T17" i="3"/>
  <c r="R17" i="3"/>
  <c r="Q17" i="3"/>
  <c r="P17" i="3"/>
  <c r="O17" i="3"/>
  <c r="M17" i="3"/>
  <c r="K17" i="3"/>
  <c r="V16" i="3"/>
  <c r="T16" i="3"/>
  <c r="R16" i="3"/>
  <c r="Q16" i="3"/>
  <c r="P16" i="3"/>
  <c r="O16" i="3"/>
  <c r="M16" i="3"/>
  <c r="K16" i="3"/>
  <c r="V15" i="3"/>
  <c r="T15" i="3"/>
  <c r="R15" i="3"/>
  <c r="Q15" i="3"/>
  <c r="P15" i="3"/>
  <c r="O15" i="3"/>
  <c r="M15" i="3"/>
  <c r="K15" i="3"/>
  <c r="V14" i="3"/>
  <c r="R14" i="3" s="1"/>
  <c r="Q14" i="3"/>
  <c r="P14" i="3"/>
  <c r="O14" i="3"/>
  <c r="M14" i="3"/>
  <c r="K14" i="3"/>
  <c r="Q8" i="3"/>
  <c r="K8" i="3"/>
  <c r="Q7" i="3"/>
  <c r="K7" i="3"/>
  <c r="T6" i="3"/>
  <c r="Q6" i="3"/>
  <c r="K6" i="3"/>
  <c r="S3" i="3"/>
  <c r="O66" i="2"/>
  <c r="AE13" i="11" s="1"/>
  <c r="O65" i="2"/>
  <c r="AD13" i="11" s="1"/>
  <c r="O64" i="2"/>
  <c r="AC13" i="11" s="1"/>
  <c r="AC14" i="11" s="1"/>
  <c r="O63" i="2"/>
  <c r="AB13" i="11" s="1"/>
  <c r="O62" i="2"/>
  <c r="AA13" i="11" s="1"/>
  <c r="O61" i="2"/>
  <c r="Z13" i="11" s="1"/>
  <c r="O60" i="2"/>
  <c r="Y13" i="11" s="1"/>
  <c r="O59" i="2"/>
  <c r="X13" i="11" s="1"/>
  <c r="O58" i="2"/>
  <c r="W13" i="11" s="1"/>
  <c r="O57" i="2"/>
  <c r="V13" i="11" s="1"/>
  <c r="O56" i="2"/>
  <c r="U13" i="11" s="1"/>
  <c r="U14" i="11" s="1"/>
  <c r="O55" i="2"/>
  <c r="T13" i="11" s="1"/>
  <c r="O54" i="2"/>
  <c r="S13" i="11" s="1"/>
  <c r="O53" i="2"/>
  <c r="R13" i="11" s="1"/>
  <c r="O52" i="2"/>
  <c r="Q13" i="11" s="1"/>
  <c r="O51" i="2"/>
  <c r="P13" i="11" s="1"/>
  <c r="O50" i="2"/>
  <c r="O13" i="11" s="1"/>
  <c r="O49" i="2"/>
  <c r="N13" i="11" s="1"/>
  <c r="O48" i="2"/>
  <c r="M13" i="11" s="1"/>
  <c r="M14" i="11" s="1"/>
  <c r="O47" i="2"/>
  <c r="L13" i="11" s="1"/>
  <c r="D45" i="2"/>
  <c r="D43" i="2"/>
  <c r="D39" i="2"/>
  <c r="Y33" i="2"/>
  <c r="G33" i="2"/>
  <c r="AC38" i="5" s="1"/>
  <c r="AC45" i="5" s="1"/>
  <c r="F33" i="2"/>
  <c r="D33" i="2"/>
  <c r="C33" i="2"/>
  <c r="B33" i="2"/>
  <c r="Y32" i="2"/>
  <c r="F32" i="2"/>
  <c r="D32" i="2"/>
  <c r="C32" i="2"/>
  <c r="B32" i="2"/>
  <c r="G32" i="2" s="1"/>
  <c r="Y31" i="2"/>
  <c r="G31" i="2"/>
  <c r="AA38" i="5" s="1"/>
  <c r="AA45" i="5" s="1"/>
  <c r="F31" i="2"/>
  <c r="E31" i="2"/>
  <c r="D31" i="2"/>
  <c r="C31" i="2"/>
  <c r="B31" i="2"/>
  <c r="Y30" i="2"/>
  <c r="F30" i="2"/>
  <c r="D30" i="2"/>
  <c r="C30" i="2"/>
  <c r="B30" i="2"/>
  <c r="G30" i="2" s="1"/>
  <c r="Y29" i="2"/>
  <c r="G29" i="2"/>
  <c r="Y38" i="5" s="1"/>
  <c r="Y45" i="5" s="1"/>
  <c r="F29" i="2"/>
  <c r="D29" i="2"/>
  <c r="C29" i="2"/>
  <c r="B29" i="2"/>
  <c r="Y28" i="2"/>
  <c r="F28" i="2"/>
  <c r="D28" i="2"/>
  <c r="C28" i="2"/>
  <c r="B28" i="2"/>
  <c r="G28" i="2" s="1"/>
  <c r="Y27" i="2"/>
  <c r="G27" i="2"/>
  <c r="W38" i="5" s="1"/>
  <c r="W45" i="5" s="1"/>
  <c r="F27" i="2"/>
  <c r="E27" i="2"/>
  <c r="D27" i="2"/>
  <c r="C27" i="2"/>
  <c r="B27" i="2"/>
  <c r="Y26" i="2"/>
  <c r="F26" i="2"/>
  <c r="D26" i="2"/>
  <c r="C26" i="2"/>
  <c r="B26" i="2"/>
  <c r="G26" i="2" s="1"/>
  <c r="Y25" i="2"/>
  <c r="G25" i="2"/>
  <c r="U38" i="5" s="1"/>
  <c r="U45" i="5" s="1"/>
  <c r="F25" i="2"/>
  <c r="D25" i="2"/>
  <c r="C25" i="2"/>
  <c r="B25" i="2"/>
  <c r="Y24" i="2"/>
  <c r="F24" i="2"/>
  <c r="D24" i="2"/>
  <c r="C24" i="2"/>
  <c r="B24" i="2"/>
  <c r="G24" i="2" s="1"/>
  <c r="Y23" i="2"/>
  <c r="G23" i="2"/>
  <c r="S38" i="5" s="1"/>
  <c r="S45" i="5" s="1"/>
  <c r="F23" i="2"/>
  <c r="E23" i="2"/>
  <c r="D23" i="2"/>
  <c r="C23" i="2"/>
  <c r="B23" i="2"/>
  <c r="Y22" i="2"/>
  <c r="F22" i="2"/>
  <c r="D22" i="2"/>
  <c r="C22" i="2"/>
  <c r="B22" i="2"/>
  <c r="G22" i="2" s="1"/>
  <c r="Y21" i="2"/>
  <c r="G21" i="2"/>
  <c r="Q38" i="5" s="1"/>
  <c r="Q45" i="5" s="1"/>
  <c r="F21" i="2"/>
  <c r="D21" i="2"/>
  <c r="C21" i="2"/>
  <c r="B21" i="2"/>
  <c r="Y20" i="2"/>
  <c r="F20" i="2"/>
  <c r="D20" i="2"/>
  <c r="C20" i="2"/>
  <c r="B20" i="2"/>
  <c r="G20" i="2" s="1"/>
  <c r="Y19" i="2"/>
  <c r="G19" i="2"/>
  <c r="O38" i="5" s="1"/>
  <c r="O45" i="5" s="1"/>
  <c r="F19" i="2"/>
  <c r="E19" i="2"/>
  <c r="D19" i="2"/>
  <c r="C19" i="2"/>
  <c r="B19" i="2"/>
  <c r="Y18" i="2"/>
  <c r="F18" i="2"/>
  <c r="D18" i="2"/>
  <c r="C18" i="2"/>
  <c r="B18" i="2"/>
  <c r="G18" i="2" s="1"/>
  <c r="Y17" i="2"/>
  <c r="G17" i="2"/>
  <c r="M38" i="5" s="1"/>
  <c r="M45" i="5" s="1"/>
  <c r="F17" i="2"/>
  <c r="D17" i="2"/>
  <c r="C17" i="2"/>
  <c r="B17" i="2"/>
  <c r="Y16" i="2"/>
  <c r="F16" i="2"/>
  <c r="D16" i="2"/>
  <c r="C16" i="2"/>
  <c r="B16" i="2"/>
  <c r="G16" i="2" s="1"/>
  <c r="Y15" i="2"/>
  <c r="F15" i="2"/>
  <c r="D15" i="2"/>
  <c r="C15" i="2"/>
  <c r="B15" i="2"/>
  <c r="G15" i="2" s="1"/>
  <c r="Y14" i="2"/>
  <c r="P14" i="2"/>
  <c r="O14" i="2"/>
  <c r="J34" i="5" s="1"/>
  <c r="J48" i="5" s="1"/>
  <c r="N14" i="2"/>
  <c r="L14" i="2"/>
  <c r="F14" i="2"/>
  <c r="D14" i="2"/>
  <c r="C14" i="2"/>
  <c r="B14" i="2"/>
  <c r="B34" i="2" s="1"/>
  <c r="G34" i="2" s="1"/>
  <c r="F2" i="2"/>
  <c r="D2" i="2"/>
  <c r="V38" i="5" l="1"/>
  <c r="V45" i="5" s="1"/>
  <c r="V38" i="4"/>
  <c r="V45" i="4" s="1"/>
  <c r="S14" i="14" s="1"/>
  <c r="E25" i="3"/>
  <c r="Z26" i="2"/>
  <c r="E26" i="2"/>
  <c r="U26" i="2"/>
  <c r="R38" i="5"/>
  <c r="R45" i="5" s="1"/>
  <c r="R38" i="4"/>
  <c r="R45" i="4" s="1"/>
  <c r="S10" i="14" s="1"/>
  <c r="E21" i="3"/>
  <c r="Z22" i="2"/>
  <c r="E22" i="2"/>
  <c r="U22" i="2"/>
  <c r="T38" i="5"/>
  <c r="T45" i="5" s="1"/>
  <c r="E23" i="3"/>
  <c r="E24" i="2"/>
  <c r="T38" i="4"/>
  <c r="T45" i="4" s="1"/>
  <c r="S12" i="14" s="1"/>
  <c r="U24" i="2"/>
  <c r="Z24" i="2"/>
  <c r="N38" i="5"/>
  <c r="N45" i="5" s="1"/>
  <c r="N38" i="4"/>
  <c r="N45" i="4" s="1"/>
  <c r="S6" i="14" s="1"/>
  <c r="E17" i="3"/>
  <c r="Z18" i="2"/>
  <c r="E18" i="2"/>
  <c r="U18" i="2"/>
  <c r="P38" i="5"/>
  <c r="P45" i="5" s="1"/>
  <c r="E19" i="3"/>
  <c r="Z20" i="2"/>
  <c r="E20" i="2"/>
  <c r="P38" i="4"/>
  <c r="P45" i="4" s="1"/>
  <c r="S8" i="14" s="1"/>
  <c r="U20" i="2"/>
  <c r="X38" i="5"/>
  <c r="X45" i="5" s="1"/>
  <c r="E27" i="3"/>
  <c r="Z28" i="2"/>
  <c r="E28" i="2"/>
  <c r="X38" i="4"/>
  <c r="X45" i="4" s="1"/>
  <c r="S16" i="14" s="1"/>
  <c r="U28" i="2"/>
  <c r="K38" i="5"/>
  <c r="E14" i="3"/>
  <c r="E15" i="2"/>
  <c r="Z15" i="2"/>
  <c r="K38" i="4"/>
  <c r="U15" i="2"/>
  <c r="L38" i="5"/>
  <c r="L45" i="5" s="1"/>
  <c r="E15" i="3"/>
  <c r="U16" i="2"/>
  <c r="E16" i="2"/>
  <c r="L38" i="4"/>
  <c r="L45" i="4" s="1"/>
  <c r="S4" i="14" s="1"/>
  <c r="Z16" i="2"/>
  <c r="Z38" i="5"/>
  <c r="Z45" i="5" s="1"/>
  <c r="Z38" i="4"/>
  <c r="Z45" i="4" s="1"/>
  <c r="S18" i="14" s="1"/>
  <c r="U30" i="2"/>
  <c r="E29" i="3"/>
  <c r="Z30" i="2"/>
  <c r="E30" i="2"/>
  <c r="AB38" i="5"/>
  <c r="AB45" i="5" s="1"/>
  <c r="E31" i="3"/>
  <c r="Z32" i="2"/>
  <c r="E32" i="2"/>
  <c r="AB38" i="4"/>
  <c r="AB45" i="4" s="1"/>
  <c r="S20" i="14" s="1"/>
  <c r="U32" i="2"/>
  <c r="AD40" i="11"/>
  <c r="Z40" i="11"/>
  <c r="V40" i="11"/>
  <c r="R40" i="11"/>
  <c r="N40" i="11"/>
  <c r="AC40" i="11"/>
  <c r="X40" i="11"/>
  <c r="S40" i="11"/>
  <c r="M40" i="11"/>
  <c r="AB18" i="11"/>
  <c r="X18" i="11"/>
  <c r="T18" i="11"/>
  <c r="P18" i="11"/>
  <c r="L18" i="11"/>
  <c r="AB40" i="11"/>
  <c r="W40" i="11"/>
  <c r="Q40" i="11"/>
  <c r="L40" i="11"/>
  <c r="AA40" i="11"/>
  <c r="U40" i="11"/>
  <c r="P40" i="11"/>
  <c r="AD18" i="11"/>
  <c r="Z18" i="11"/>
  <c r="V18" i="11"/>
  <c r="R18" i="11"/>
  <c r="R121" i="11" s="1"/>
  <c r="N18" i="11"/>
  <c r="N121" i="11" s="1"/>
  <c r="AE40" i="11"/>
  <c r="Y40" i="11"/>
  <c r="T40" i="11"/>
  <c r="O40" i="11"/>
  <c r="AC18" i="11"/>
  <c r="Y18" i="11"/>
  <c r="U18" i="11"/>
  <c r="Q18" i="11"/>
  <c r="Q121" i="11" s="1"/>
  <c r="M18" i="11"/>
  <c r="W18" i="11"/>
  <c r="S18" i="11"/>
  <c r="S121" i="11" s="1"/>
  <c r="AE18" i="11"/>
  <c r="O18" i="11"/>
  <c r="AA18" i="11"/>
  <c r="E17" i="2"/>
  <c r="AB46" i="11"/>
  <c r="X46" i="11"/>
  <c r="T46" i="11"/>
  <c r="P46" i="11"/>
  <c r="L46" i="11"/>
  <c r="AD46" i="11"/>
  <c r="Z46" i="11"/>
  <c r="V46" i="11"/>
  <c r="R46" i="11"/>
  <c r="N46" i="11"/>
  <c r="AC46" i="11"/>
  <c r="Y46" i="11"/>
  <c r="U46" i="11"/>
  <c r="Q46" i="11"/>
  <c r="M46" i="11"/>
  <c r="W46" i="11"/>
  <c r="AB24" i="11"/>
  <c r="X24" i="11"/>
  <c r="T24" i="11"/>
  <c r="T127" i="11" s="1"/>
  <c r="P24" i="11"/>
  <c r="P127" i="11" s="1"/>
  <c r="L24" i="11"/>
  <c r="S46" i="11"/>
  <c r="AE46" i="11"/>
  <c r="O46" i="11"/>
  <c r="AD24" i="11"/>
  <c r="Z24" i="11"/>
  <c r="V24" i="11"/>
  <c r="R24" i="11"/>
  <c r="R127" i="11" s="1"/>
  <c r="N24" i="11"/>
  <c r="N127" i="11" s="1"/>
  <c r="AA46" i="11"/>
  <c r="AC24" i="11"/>
  <c r="Y24" i="11"/>
  <c r="U24" i="11"/>
  <c r="U127" i="11" s="1"/>
  <c r="Q24" i="11"/>
  <c r="Q127" i="11" s="1"/>
  <c r="M24" i="11"/>
  <c r="M127" i="11" s="1"/>
  <c r="W24" i="11"/>
  <c r="S24" i="11"/>
  <c r="S127" i="11" s="1"/>
  <c r="AE24" i="11"/>
  <c r="O24" i="11"/>
  <c r="O127" i="11" s="1"/>
  <c r="AA24" i="11"/>
  <c r="E25" i="2"/>
  <c r="Z17" i="2"/>
  <c r="AB43" i="11"/>
  <c r="X43" i="11"/>
  <c r="T43" i="11"/>
  <c r="P43" i="11"/>
  <c r="L43" i="11"/>
  <c r="AA43" i="11"/>
  <c r="V43" i="11"/>
  <c r="Q43" i="11"/>
  <c r="AD21" i="11"/>
  <c r="Z21" i="11"/>
  <c r="V21" i="11"/>
  <c r="R21" i="11"/>
  <c r="N21" i="11"/>
  <c r="AE43" i="11"/>
  <c r="Z43" i="11"/>
  <c r="U43" i="11"/>
  <c r="O43" i="11"/>
  <c r="AD43" i="11"/>
  <c r="Y43" i="11"/>
  <c r="S43" i="11"/>
  <c r="N43" i="11"/>
  <c r="AB21" i="11"/>
  <c r="X21" i="11"/>
  <c r="T21" i="11"/>
  <c r="T124" i="11" s="1"/>
  <c r="P21" i="11"/>
  <c r="P124" i="11" s="1"/>
  <c r="L21" i="11"/>
  <c r="AC43" i="11"/>
  <c r="W43" i="11"/>
  <c r="R43" i="11"/>
  <c r="M43" i="11"/>
  <c r="AE21" i="11"/>
  <c r="AA21" i="11"/>
  <c r="W21" i="11"/>
  <c r="S21" i="11"/>
  <c r="S124" i="11" s="1"/>
  <c r="O21" i="11"/>
  <c r="AC21" i="11"/>
  <c r="M21" i="11"/>
  <c r="Y21" i="11"/>
  <c r="U21" i="11"/>
  <c r="Q21" i="11"/>
  <c r="Q124" i="11" s="1"/>
  <c r="U19" i="2"/>
  <c r="Z21" i="2"/>
  <c r="AD47" i="11"/>
  <c r="Z47" i="11"/>
  <c r="V47" i="11"/>
  <c r="R47" i="11"/>
  <c r="N47" i="11"/>
  <c r="AB47" i="11"/>
  <c r="X47" i="11"/>
  <c r="T47" i="11"/>
  <c r="P47" i="11"/>
  <c r="L47" i="11"/>
  <c r="AE47" i="11"/>
  <c r="AA47" i="11"/>
  <c r="W47" i="11"/>
  <c r="S47" i="11"/>
  <c r="O47" i="11"/>
  <c r="AC47" i="11"/>
  <c r="M47" i="11"/>
  <c r="AD25" i="11"/>
  <c r="Z25" i="11"/>
  <c r="V25" i="11"/>
  <c r="R25" i="11"/>
  <c r="N25" i="11"/>
  <c r="N128" i="11" s="1"/>
  <c r="Y47" i="11"/>
  <c r="U47" i="11"/>
  <c r="AB25" i="11"/>
  <c r="X25" i="11"/>
  <c r="T25" i="11"/>
  <c r="P25" i="11"/>
  <c r="P128" i="11" s="1"/>
  <c r="L25" i="11"/>
  <c r="Q47" i="11"/>
  <c r="AE25" i="11"/>
  <c r="AA25" i="11"/>
  <c r="W25" i="11"/>
  <c r="S25" i="11"/>
  <c r="S128" i="11" s="1"/>
  <c r="O25" i="11"/>
  <c r="O128" i="11" s="1"/>
  <c r="AC25" i="11"/>
  <c r="M25" i="11"/>
  <c r="M128" i="11" s="1"/>
  <c r="Y25" i="11"/>
  <c r="U25" i="11"/>
  <c r="Q25" i="11"/>
  <c r="Q128" i="11" s="1"/>
  <c r="U23" i="2"/>
  <c r="Z25" i="2"/>
  <c r="AD51" i="11"/>
  <c r="Z51" i="11"/>
  <c r="V51" i="11"/>
  <c r="R51" i="11"/>
  <c r="N51" i="11"/>
  <c r="AB51" i="11"/>
  <c r="X51" i="11"/>
  <c r="T51" i="11"/>
  <c r="P51" i="11"/>
  <c r="L51" i="11"/>
  <c r="AE51" i="11"/>
  <c r="AA51" i="11"/>
  <c r="W51" i="11"/>
  <c r="S51" i="11"/>
  <c r="O51" i="11"/>
  <c r="AC51" i="11"/>
  <c r="M51" i="11"/>
  <c r="AD29" i="11"/>
  <c r="Z29" i="11"/>
  <c r="V29" i="11"/>
  <c r="R29" i="11"/>
  <c r="N29" i="11"/>
  <c r="N132" i="11" s="1"/>
  <c r="Y51" i="11"/>
  <c r="AC29" i="11"/>
  <c r="Y29" i="11"/>
  <c r="U29" i="11"/>
  <c r="U132" i="11" s="1"/>
  <c r="Q29" i="11"/>
  <c r="M29" i="11"/>
  <c r="M132" i="11" s="1"/>
  <c r="U51" i="11"/>
  <c r="AB29" i="11"/>
  <c r="X29" i="11"/>
  <c r="T29" i="11"/>
  <c r="T132" i="11" s="1"/>
  <c r="P29" i="11"/>
  <c r="P132" i="11" s="1"/>
  <c r="L29" i="11"/>
  <c r="Q51" i="11"/>
  <c r="AE29" i="11"/>
  <c r="AA29" i="11"/>
  <c r="W29" i="11"/>
  <c r="S29" i="11"/>
  <c r="O29" i="11"/>
  <c r="O132" i="11" s="1"/>
  <c r="U27" i="2"/>
  <c r="Z29" i="2"/>
  <c r="AD55" i="11"/>
  <c r="Z55" i="11"/>
  <c r="V55" i="11"/>
  <c r="R55" i="11"/>
  <c r="N55" i="11"/>
  <c r="AB55" i="11"/>
  <c r="X55" i="11"/>
  <c r="T55" i="11"/>
  <c r="P55" i="11"/>
  <c r="L55" i="11"/>
  <c r="AE55" i="11"/>
  <c r="AA55" i="11"/>
  <c r="W55" i="11"/>
  <c r="S55" i="11"/>
  <c r="O55" i="11"/>
  <c r="AC55" i="11"/>
  <c r="M55" i="11"/>
  <c r="AD33" i="11"/>
  <c r="Z33" i="11"/>
  <c r="V33" i="11"/>
  <c r="R33" i="11"/>
  <c r="N33" i="11"/>
  <c r="N136" i="11" s="1"/>
  <c r="Y55" i="11"/>
  <c r="AC33" i="11"/>
  <c r="Y33" i="11"/>
  <c r="U33" i="11"/>
  <c r="U136" i="11" s="1"/>
  <c r="Q33" i="11"/>
  <c r="M33" i="11"/>
  <c r="M136" i="11" s="1"/>
  <c r="U55" i="11"/>
  <c r="AB33" i="11"/>
  <c r="X33" i="11"/>
  <c r="T33" i="11"/>
  <c r="T136" i="11" s="1"/>
  <c r="P33" i="11"/>
  <c r="P136" i="11" s="1"/>
  <c r="L33" i="11"/>
  <c r="Q55" i="11"/>
  <c r="AE33" i="11"/>
  <c r="AA33" i="11"/>
  <c r="W33" i="11"/>
  <c r="S33" i="11"/>
  <c r="S136" i="11" s="1"/>
  <c r="O33" i="11"/>
  <c r="O136" i="11" s="1"/>
  <c r="U31" i="2"/>
  <c r="Z33" i="2"/>
  <c r="E16" i="3"/>
  <c r="E20" i="3"/>
  <c r="E24" i="3"/>
  <c r="E28" i="3"/>
  <c r="E32" i="3"/>
  <c r="P44" i="3"/>
  <c r="P48" i="3"/>
  <c r="P52" i="3"/>
  <c r="P56" i="3"/>
  <c r="P60" i="3"/>
  <c r="E67" i="3"/>
  <c r="E68" i="3" s="1"/>
  <c r="E75" i="3"/>
  <c r="E76" i="3" s="1"/>
  <c r="O38" i="4"/>
  <c r="O45" i="4" s="1"/>
  <c r="S7" i="14" s="1"/>
  <c r="S38" i="4"/>
  <c r="S45" i="4" s="1"/>
  <c r="S11" i="14" s="1"/>
  <c r="W38" i="4"/>
  <c r="W45" i="4" s="1"/>
  <c r="S15" i="14" s="1"/>
  <c r="AA38" i="4"/>
  <c r="AA45" i="4" s="1"/>
  <c r="S19" i="14" s="1"/>
  <c r="B10" i="7"/>
  <c r="T114" i="11"/>
  <c r="T164" i="11" s="1"/>
  <c r="P114" i="11"/>
  <c r="P164" i="11" s="1"/>
  <c r="L114" i="11"/>
  <c r="L164" i="11" s="1"/>
  <c r="R112" i="11"/>
  <c r="N112" i="11"/>
  <c r="U105" i="11"/>
  <c r="Q105" i="11"/>
  <c r="M105" i="11"/>
  <c r="U101" i="11"/>
  <c r="Q101" i="11"/>
  <c r="M101" i="11"/>
  <c r="U97" i="11"/>
  <c r="Q97" i="11"/>
  <c r="M97" i="11"/>
  <c r="U96" i="11"/>
  <c r="Q96" i="11"/>
  <c r="M96" i="11"/>
  <c r="U93" i="11"/>
  <c r="Q93" i="11"/>
  <c r="M93" i="11"/>
  <c r="U90" i="11"/>
  <c r="Q90" i="11"/>
  <c r="M90" i="11"/>
  <c r="T83" i="11"/>
  <c r="P83" i="11"/>
  <c r="L83" i="11"/>
  <c r="T79" i="11"/>
  <c r="P79" i="11"/>
  <c r="S114" i="11"/>
  <c r="S164" i="11" s="1"/>
  <c r="O114" i="11"/>
  <c r="O164" i="11" s="1"/>
  <c r="U112" i="11"/>
  <c r="Q112" i="11"/>
  <c r="M112" i="11"/>
  <c r="T105" i="11"/>
  <c r="P105" i="11"/>
  <c r="L105" i="11"/>
  <c r="T101" i="11"/>
  <c r="P101" i="11"/>
  <c r="L101" i="11"/>
  <c r="R114" i="11"/>
  <c r="R164" i="11" s="1"/>
  <c r="N114" i="11"/>
  <c r="N164" i="11" s="1"/>
  <c r="T112" i="11"/>
  <c r="P112" i="11"/>
  <c r="L112" i="11"/>
  <c r="S105" i="11"/>
  <c r="O105" i="11"/>
  <c r="S101" i="11"/>
  <c r="O101" i="11"/>
  <c r="S97" i="11"/>
  <c r="O97" i="11"/>
  <c r="S96" i="11"/>
  <c r="O96" i="11"/>
  <c r="S93" i="11"/>
  <c r="O93" i="11"/>
  <c r="S90" i="11"/>
  <c r="O90" i="11"/>
  <c r="R83" i="11"/>
  <c r="R159" i="11" s="1"/>
  <c r="N83" i="11"/>
  <c r="R79" i="11"/>
  <c r="R155" i="11" s="1"/>
  <c r="N79" i="11"/>
  <c r="R75" i="11"/>
  <c r="R151" i="11" s="1"/>
  <c r="N75" i="11"/>
  <c r="R74" i="11"/>
  <c r="R150" i="11" s="1"/>
  <c r="N74" i="11"/>
  <c r="R71" i="11"/>
  <c r="R147" i="11" s="1"/>
  <c r="N71" i="11"/>
  <c r="U114" i="11"/>
  <c r="U164" i="11" s="1"/>
  <c r="Q114" i="11"/>
  <c r="Q164" i="11" s="1"/>
  <c r="M114" i="11"/>
  <c r="S112" i="11"/>
  <c r="O112" i="11"/>
  <c r="R105" i="11"/>
  <c r="N105" i="11"/>
  <c r="R101" i="11"/>
  <c r="N101" i="11"/>
  <c r="R97" i="11"/>
  <c r="N97" i="11"/>
  <c r="R96" i="11"/>
  <c r="N96" i="11"/>
  <c r="R93" i="11"/>
  <c r="N93" i="11"/>
  <c r="R90" i="11"/>
  <c r="N90" i="11"/>
  <c r="U83" i="11"/>
  <c r="U159" i="11" s="1"/>
  <c r="Q83" i="11"/>
  <c r="Q159" i="11" s="1"/>
  <c r="M83" i="11"/>
  <c r="M159" i="11" s="1"/>
  <c r="U79" i="11"/>
  <c r="U155" i="11" s="1"/>
  <c r="L97" i="11"/>
  <c r="L93" i="11"/>
  <c r="P90" i="11"/>
  <c r="S83" i="11"/>
  <c r="S159" i="11" s="1"/>
  <c r="S79" i="11"/>
  <c r="S155" i="11" s="1"/>
  <c r="L79" i="11"/>
  <c r="L155" i="11" s="1"/>
  <c r="Q75" i="11"/>
  <c r="Q151" i="11" s="1"/>
  <c r="L75" i="11"/>
  <c r="S74" i="11"/>
  <c r="S150" i="11" s="1"/>
  <c r="M74" i="11"/>
  <c r="M150" i="11" s="1"/>
  <c r="Q71" i="11"/>
  <c r="Q147" i="11" s="1"/>
  <c r="L71" i="11"/>
  <c r="L147" i="11" s="1"/>
  <c r="R68" i="11"/>
  <c r="R144" i="11" s="1"/>
  <c r="N68" i="11"/>
  <c r="U65" i="11"/>
  <c r="Q65" i="11"/>
  <c r="M65" i="11"/>
  <c r="U63" i="11"/>
  <c r="Q63" i="11"/>
  <c r="M63" i="11"/>
  <c r="R62" i="11"/>
  <c r="N62" i="11"/>
  <c r="S61" i="11"/>
  <c r="S141" i="11" s="1"/>
  <c r="O61" i="11"/>
  <c r="O141" i="11" s="1"/>
  <c r="F61" i="11"/>
  <c r="T96" i="11"/>
  <c r="L90" i="11"/>
  <c r="O83" i="11"/>
  <c r="O159" i="11" s="1"/>
  <c r="Q79" i="11"/>
  <c r="Q155" i="11" s="1"/>
  <c r="U75" i="11"/>
  <c r="U151" i="11" s="1"/>
  <c r="P75" i="11"/>
  <c r="Q74" i="11"/>
  <c r="Q150" i="11" s="1"/>
  <c r="L74" i="11"/>
  <c r="U71" i="11"/>
  <c r="U147" i="11" s="1"/>
  <c r="P71" i="11"/>
  <c r="U68" i="11"/>
  <c r="U144" i="11" s="1"/>
  <c r="Q68" i="11"/>
  <c r="Q144" i="11" s="1"/>
  <c r="M68" i="11"/>
  <c r="M144" i="11" s="1"/>
  <c r="T65" i="11"/>
  <c r="P65" i="11"/>
  <c r="L65" i="11"/>
  <c r="T63" i="11"/>
  <c r="P63" i="11"/>
  <c r="L63" i="11"/>
  <c r="U62" i="11"/>
  <c r="Q62" i="11"/>
  <c r="M62" i="11"/>
  <c r="R61" i="11"/>
  <c r="R141" i="11" s="1"/>
  <c r="N61" i="11"/>
  <c r="N141" i="11" s="1"/>
  <c r="T97" i="11"/>
  <c r="P96" i="11"/>
  <c r="T93" i="11"/>
  <c r="O79" i="11"/>
  <c r="O155" i="11" s="1"/>
  <c r="T75" i="11"/>
  <c r="O75" i="11"/>
  <c r="O151" i="11" s="1"/>
  <c r="U74" i="11"/>
  <c r="U150" i="11" s="1"/>
  <c r="P74" i="11"/>
  <c r="P150" i="11" s="1"/>
  <c r="T71" i="11"/>
  <c r="T147" i="11" s="1"/>
  <c r="O71" i="11"/>
  <c r="O147" i="11" s="1"/>
  <c r="T68" i="11"/>
  <c r="P68" i="11"/>
  <c r="P144" i="11" s="1"/>
  <c r="L68" i="11"/>
  <c r="L144" i="11" s="1"/>
  <c r="S65" i="11"/>
  <c r="O65" i="11"/>
  <c r="S64" i="11"/>
  <c r="S63" i="11"/>
  <c r="O63" i="11"/>
  <c r="T62" i="11"/>
  <c r="P62" i="11"/>
  <c r="L62" i="11"/>
  <c r="U61" i="11"/>
  <c r="U141" i="11" s="1"/>
  <c r="Q61" i="11"/>
  <c r="Q141" i="11" s="1"/>
  <c r="M61" i="11"/>
  <c r="M141" i="11" s="1"/>
  <c r="P97" i="11"/>
  <c r="L96" i="11"/>
  <c r="P93" i="11"/>
  <c r="T90" i="11"/>
  <c r="M79" i="11"/>
  <c r="M155" i="11" s="1"/>
  <c r="S75" i="11"/>
  <c r="S151" i="11" s="1"/>
  <c r="M75" i="11"/>
  <c r="M151" i="11" s="1"/>
  <c r="T74" i="11"/>
  <c r="T150" i="11" s="1"/>
  <c r="O74" i="11"/>
  <c r="O150" i="11" s="1"/>
  <c r="S71" i="11"/>
  <c r="S147" i="11" s="1"/>
  <c r="M71" i="11"/>
  <c r="M147" i="11" s="1"/>
  <c r="S68" i="11"/>
  <c r="S144" i="11" s="1"/>
  <c r="O68" i="11"/>
  <c r="O144" i="11" s="1"/>
  <c r="R65" i="11"/>
  <c r="N65" i="11"/>
  <c r="R63" i="11"/>
  <c r="N63" i="11"/>
  <c r="S62" i="11"/>
  <c r="O62" i="11"/>
  <c r="T61" i="11"/>
  <c r="T141" i="11" s="1"/>
  <c r="P61" i="11"/>
  <c r="P141" i="11" s="1"/>
  <c r="L61" i="11"/>
  <c r="L141" i="11" s="1"/>
  <c r="E25" i="5"/>
  <c r="E21" i="5"/>
  <c r="E17" i="5"/>
  <c r="E13" i="5"/>
  <c r="E9" i="5"/>
  <c r="J36" i="5"/>
  <c r="E24" i="5"/>
  <c r="E20" i="5"/>
  <c r="E16" i="5"/>
  <c r="E12" i="5"/>
  <c r="E8" i="5"/>
  <c r="E27" i="5"/>
  <c r="E23" i="5"/>
  <c r="E19" i="5"/>
  <c r="E15" i="5"/>
  <c r="E11" i="5"/>
  <c r="E26" i="5"/>
  <c r="E22" i="5"/>
  <c r="E18" i="5"/>
  <c r="E14" i="5"/>
  <c r="E10" i="5"/>
  <c r="AB48" i="11"/>
  <c r="R98" i="11" s="1"/>
  <c r="X48" i="11"/>
  <c r="N98" i="11" s="1"/>
  <c r="T48" i="11"/>
  <c r="P48" i="11"/>
  <c r="L48" i="11"/>
  <c r="AD48" i="11"/>
  <c r="T98" i="11" s="1"/>
  <c r="Z48" i="11"/>
  <c r="P98" i="11" s="1"/>
  <c r="V48" i="11"/>
  <c r="L98" i="11" s="1"/>
  <c r="R48" i="11"/>
  <c r="N48" i="11"/>
  <c r="AC48" i="11"/>
  <c r="S98" i="11" s="1"/>
  <c r="Y48" i="11"/>
  <c r="O98" i="11" s="1"/>
  <c r="U48" i="11"/>
  <c r="Q48" i="11"/>
  <c r="M48" i="11"/>
  <c r="W48" i="11"/>
  <c r="M98" i="11" s="1"/>
  <c r="AB26" i="11"/>
  <c r="R76" i="11" s="1"/>
  <c r="R152" i="11" s="1"/>
  <c r="X26" i="11"/>
  <c r="N76" i="11" s="1"/>
  <c r="N152" i="11" s="1"/>
  <c r="T26" i="11"/>
  <c r="T129" i="11" s="1"/>
  <c r="P26" i="11"/>
  <c r="P129" i="11" s="1"/>
  <c r="L26" i="11"/>
  <c r="S48" i="11"/>
  <c r="AE26" i="11"/>
  <c r="U76" i="11" s="1"/>
  <c r="AE48" i="11"/>
  <c r="U98" i="11" s="1"/>
  <c r="O48" i="11"/>
  <c r="AD26" i="11"/>
  <c r="T76" i="11" s="1"/>
  <c r="T152" i="11" s="1"/>
  <c r="Z26" i="11"/>
  <c r="P76" i="11" s="1"/>
  <c r="P152" i="11" s="1"/>
  <c r="V26" i="11"/>
  <c r="L76" i="11" s="1"/>
  <c r="L152" i="11" s="1"/>
  <c r="R26" i="11"/>
  <c r="R129" i="11" s="1"/>
  <c r="N26" i="11"/>
  <c r="N129" i="11" s="1"/>
  <c r="AA48" i="11"/>
  <c r="Q98" i="11" s="1"/>
  <c r="AC26" i="11"/>
  <c r="S76" i="11" s="1"/>
  <c r="S152" i="11" s="1"/>
  <c r="Y26" i="11"/>
  <c r="O76" i="11" s="1"/>
  <c r="U26" i="11"/>
  <c r="Q26" i="11"/>
  <c r="Q129" i="11" s="1"/>
  <c r="M26" i="11"/>
  <c r="W26" i="11"/>
  <c r="M76" i="11" s="1"/>
  <c r="S26" i="11"/>
  <c r="S129" i="11" s="1"/>
  <c r="O26" i="11"/>
  <c r="O129" i="11" s="1"/>
  <c r="AA26" i="11"/>
  <c r="Q76" i="11" s="1"/>
  <c r="Q152" i="11" s="1"/>
  <c r="AB52" i="11"/>
  <c r="R102" i="11" s="1"/>
  <c r="X52" i="11"/>
  <c r="N102" i="11" s="1"/>
  <c r="T52" i="11"/>
  <c r="P52" i="11"/>
  <c r="L52" i="11"/>
  <c r="AD52" i="11"/>
  <c r="T102" i="11" s="1"/>
  <c r="Z52" i="11"/>
  <c r="P102" i="11" s="1"/>
  <c r="V52" i="11"/>
  <c r="L102" i="11" s="1"/>
  <c r="R52" i="11"/>
  <c r="N52" i="11"/>
  <c r="AC52" i="11"/>
  <c r="S102" i="11" s="1"/>
  <c r="Y52" i="11"/>
  <c r="O102" i="11" s="1"/>
  <c r="U52" i="11"/>
  <c r="Q52" i="11"/>
  <c r="M52" i="11"/>
  <c r="W52" i="11"/>
  <c r="M102" i="11" s="1"/>
  <c r="AB30" i="11"/>
  <c r="R80" i="11" s="1"/>
  <c r="R156" i="11" s="1"/>
  <c r="X30" i="11"/>
  <c r="N80" i="11" s="1"/>
  <c r="N156" i="11" s="1"/>
  <c r="T30" i="11"/>
  <c r="T133" i="11" s="1"/>
  <c r="P30" i="11"/>
  <c r="P133" i="11" s="1"/>
  <c r="L30" i="11"/>
  <c r="S52" i="11"/>
  <c r="AE30" i="11"/>
  <c r="U80" i="11" s="1"/>
  <c r="AA30" i="11"/>
  <c r="Q80" i="11" s="1"/>
  <c r="Q156" i="11" s="1"/>
  <c r="W30" i="11"/>
  <c r="M80" i="11" s="1"/>
  <c r="S30" i="11"/>
  <c r="S133" i="11" s="1"/>
  <c r="O30" i="11"/>
  <c r="O133" i="11" s="1"/>
  <c r="AE52" i="11"/>
  <c r="U102" i="11" s="1"/>
  <c r="O52" i="11"/>
  <c r="AD30" i="11"/>
  <c r="T80" i="11" s="1"/>
  <c r="T156" i="11" s="1"/>
  <c r="Z30" i="11"/>
  <c r="P80" i="11" s="1"/>
  <c r="P156" i="11" s="1"/>
  <c r="V30" i="11"/>
  <c r="L80" i="11" s="1"/>
  <c r="L156" i="11" s="1"/>
  <c r="R30" i="11"/>
  <c r="R133" i="11" s="1"/>
  <c r="N30" i="11"/>
  <c r="N133" i="11" s="1"/>
  <c r="AA52" i="11"/>
  <c r="Q102" i="11" s="1"/>
  <c r="AC30" i="11"/>
  <c r="S80" i="11" s="1"/>
  <c r="S156" i="11" s="1"/>
  <c r="Y30" i="11"/>
  <c r="O80" i="11" s="1"/>
  <c r="U30" i="11"/>
  <c r="Q30" i="11"/>
  <c r="Q133" i="11" s="1"/>
  <c r="M30" i="11"/>
  <c r="M133" i="11" s="1"/>
  <c r="AB56" i="11"/>
  <c r="R106" i="11" s="1"/>
  <c r="X56" i="11"/>
  <c r="N106" i="11" s="1"/>
  <c r="T56" i="11"/>
  <c r="P56" i="11"/>
  <c r="L56" i="11"/>
  <c r="AE56" i="11"/>
  <c r="U106" i="11" s="1"/>
  <c r="AA56" i="11"/>
  <c r="Q106" i="11" s="1"/>
  <c r="W56" i="11"/>
  <c r="M106" i="11" s="1"/>
  <c r="S56" i="11"/>
  <c r="O56" i="11"/>
  <c r="AD56" i="11"/>
  <c r="T106" i="11" s="1"/>
  <c r="Z56" i="11"/>
  <c r="P106" i="11" s="1"/>
  <c r="V56" i="11"/>
  <c r="L106" i="11" s="1"/>
  <c r="R56" i="11"/>
  <c r="N56" i="11"/>
  <c r="AC56" i="11"/>
  <c r="S106" i="11" s="1"/>
  <c r="Y56" i="11"/>
  <c r="O106" i="11" s="1"/>
  <c r="U56" i="11"/>
  <c r="Q56" i="11"/>
  <c r="M56" i="11"/>
  <c r="AB34" i="11"/>
  <c r="R84" i="11" s="1"/>
  <c r="R160" i="11" s="1"/>
  <c r="X34" i="11"/>
  <c r="N84" i="11" s="1"/>
  <c r="N160" i="11" s="1"/>
  <c r="T34" i="11"/>
  <c r="T137" i="11" s="1"/>
  <c r="P34" i="11"/>
  <c r="P137" i="11" s="1"/>
  <c r="L34" i="11"/>
  <c r="AE34" i="11"/>
  <c r="U84" i="11" s="1"/>
  <c r="U160" i="11" s="1"/>
  <c r="AA34" i="11"/>
  <c r="Q84" i="11" s="1"/>
  <c r="Q160" i="11" s="1"/>
  <c r="W34" i="11"/>
  <c r="M84" i="11" s="1"/>
  <c r="M160" i="11" s="1"/>
  <c r="S34" i="11"/>
  <c r="S137" i="11" s="1"/>
  <c r="O34" i="11"/>
  <c r="O137" i="11" s="1"/>
  <c r="AD34" i="11"/>
  <c r="T84" i="11" s="1"/>
  <c r="T160" i="11" s="1"/>
  <c r="Z34" i="11"/>
  <c r="P84" i="11" s="1"/>
  <c r="P160" i="11" s="1"/>
  <c r="V34" i="11"/>
  <c r="L84" i="11" s="1"/>
  <c r="L160" i="11" s="1"/>
  <c r="R34" i="11"/>
  <c r="R137" i="11" s="1"/>
  <c r="N34" i="11"/>
  <c r="N137" i="11" s="1"/>
  <c r="AC34" i="11"/>
  <c r="S84" i="11" s="1"/>
  <c r="S160" i="11" s="1"/>
  <c r="Y34" i="11"/>
  <c r="O84" i="11" s="1"/>
  <c r="O160" i="11" s="1"/>
  <c r="U34" i="11"/>
  <c r="U137" i="11" s="1"/>
  <c r="Q34" i="11"/>
  <c r="Q137" i="11" s="1"/>
  <c r="M34" i="11"/>
  <c r="M137" i="11" s="1"/>
  <c r="P45" i="3"/>
  <c r="P49" i="3"/>
  <c r="P53" i="3"/>
  <c r="P57" i="3"/>
  <c r="P61" i="3"/>
  <c r="K11" i="7"/>
  <c r="I11" i="7"/>
  <c r="AB41" i="11"/>
  <c r="R91" i="11" s="1"/>
  <c r="X41" i="11"/>
  <c r="N91" i="11" s="1"/>
  <c r="T41" i="11"/>
  <c r="P41" i="11"/>
  <c r="L41" i="11"/>
  <c r="AC41" i="11"/>
  <c r="S91" i="11" s="1"/>
  <c r="W41" i="11"/>
  <c r="M91" i="11" s="1"/>
  <c r="R41" i="11"/>
  <c r="M41" i="11"/>
  <c r="AD19" i="11"/>
  <c r="T69" i="11" s="1"/>
  <c r="T145" i="11" s="1"/>
  <c r="Z19" i="11"/>
  <c r="P69" i="11" s="1"/>
  <c r="V19" i="11"/>
  <c r="L69" i="11" s="1"/>
  <c r="R19" i="11"/>
  <c r="N19" i="11"/>
  <c r="AA41" i="11"/>
  <c r="Q91" i="11" s="1"/>
  <c r="V41" i="11"/>
  <c r="L91" i="11" s="1"/>
  <c r="Q41" i="11"/>
  <c r="AE41" i="11"/>
  <c r="U91" i="11" s="1"/>
  <c r="Z41" i="11"/>
  <c r="P91" i="11" s="1"/>
  <c r="U41" i="11"/>
  <c r="O41" i="11"/>
  <c r="AB19" i="11"/>
  <c r="R69" i="11" s="1"/>
  <c r="X19" i="11"/>
  <c r="N69" i="11" s="1"/>
  <c r="T19" i="11"/>
  <c r="P19" i="11"/>
  <c r="L19" i="11"/>
  <c r="AD41" i="11"/>
  <c r="T91" i="11" s="1"/>
  <c r="Y41" i="11"/>
  <c r="O91" i="11" s="1"/>
  <c r="S41" i="11"/>
  <c r="N41" i="11"/>
  <c r="AE19" i="11"/>
  <c r="U69" i="11" s="1"/>
  <c r="AA19" i="11"/>
  <c r="Q69" i="11" s="1"/>
  <c r="W19" i="11"/>
  <c r="M69" i="11" s="1"/>
  <c r="M145" i="11" s="1"/>
  <c r="S19" i="11"/>
  <c r="S122" i="11" s="1"/>
  <c r="O19" i="11"/>
  <c r="O122" i="11" s="1"/>
  <c r="AC19" i="11"/>
  <c r="S69" i="11" s="1"/>
  <c r="M19" i="11"/>
  <c r="M122" i="11" s="1"/>
  <c r="Y19" i="11"/>
  <c r="O69" i="11" s="1"/>
  <c r="O145" i="11" s="1"/>
  <c r="U19" i="11"/>
  <c r="U122" i="11" s="1"/>
  <c r="Q19" i="11"/>
  <c r="Q122" i="11" s="1"/>
  <c r="U17" i="2"/>
  <c r="Z19" i="2"/>
  <c r="AD45" i="11"/>
  <c r="T95" i="11" s="1"/>
  <c r="Z45" i="11"/>
  <c r="P95" i="11" s="1"/>
  <c r="V45" i="11"/>
  <c r="L95" i="11" s="1"/>
  <c r="AB45" i="11"/>
  <c r="R95" i="11" s="1"/>
  <c r="X45" i="11"/>
  <c r="N95" i="11" s="1"/>
  <c r="T45" i="11"/>
  <c r="P45" i="11"/>
  <c r="L45" i="11"/>
  <c r="AE45" i="11"/>
  <c r="U95" i="11" s="1"/>
  <c r="AA45" i="11"/>
  <c r="Q95" i="11" s="1"/>
  <c r="W45" i="11"/>
  <c r="M95" i="11" s="1"/>
  <c r="S45" i="11"/>
  <c r="O45" i="11"/>
  <c r="AC45" i="11"/>
  <c r="S95" i="11" s="1"/>
  <c r="Q45" i="11"/>
  <c r="AD23" i="11"/>
  <c r="T73" i="11" s="1"/>
  <c r="T149" i="11" s="1"/>
  <c r="Z23" i="11"/>
  <c r="P73" i="11" s="1"/>
  <c r="V23" i="11"/>
  <c r="L73" i="11" s="1"/>
  <c r="R23" i="11"/>
  <c r="N23" i="11"/>
  <c r="N126" i="11" s="1"/>
  <c r="Y45" i="11"/>
  <c r="O95" i="11" s="1"/>
  <c r="N45" i="11"/>
  <c r="U45" i="11"/>
  <c r="M45" i="11"/>
  <c r="AB23" i="11"/>
  <c r="R73" i="11" s="1"/>
  <c r="X23" i="11"/>
  <c r="N73" i="11" s="1"/>
  <c r="N149" i="11" s="1"/>
  <c r="T23" i="11"/>
  <c r="P23" i="11"/>
  <c r="P126" i="11" s="1"/>
  <c r="L23" i="11"/>
  <c r="R45" i="11"/>
  <c r="AE23" i="11"/>
  <c r="U73" i="11" s="1"/>
  <c r="U149" i="11" s="1"/>
  <c r="AA23" i="11"/>
  <c r="Q73" i="11" s="1"/>
  <c r="W23" i="11"/>
  <c r="M73" i="11" s="1"/>
  <c r="S23" i="11"/>
  <c r="O23" i="11"/>
  <c r="AC23" i="11"/>
  <c r="S73" i="11" s="1"/>
  <c r="M23" i="11"/>
  <c r="M126" i="11" s="1"/>
  <c r="Y23" i="11"/>
  <c r="O73" i="11" s="1"/>
  <c r="O149" i="11" s="1"/>
  <c r="U23" i="11"/>
  <c r="U126" i="11" s="1"/>
  <c r="Q23" i="11"/>
  <c r="Q126" i="11" s="1"/>
  <c r="U21" i="2"/>
  <c r="Z23" i="2"/>
  <c r="AD49" i="11"/>
  <c r="T99" i="11" s="1"/>
  <c r="Z49" i="11"/>
  <c r="P99" i="11" s="1"/>
  <c r="V49" i="11"/>
  <c r="L99" i="11" s="1"/>
  <c r="R49" i="11"/>
  <c r="N49" i="11"/>
  <c r="AB49" i="11"/>
  <c r="R99" i="11" s="1"/>
  <c r="X49" i="11"/>
  <c r="N99" i="11" s="1"/>
  <c r="T49" i="11"/>
  <c r="P49" i="11"/>
  <c r="L49" i="11"/>
  <c r="AE49" i="11"/>
  <c r="U99" i="11" s="1"/>
  <c r="AA49" i="11"/>
  <c r="Q99" i="11" s="1"/>
  <c r="W49" i="11"/>
  <c r="M99" i="11" s="1"/>
  <c r="S49" i="11"/>
  <c r="O49" i="11"/>
  <c r="AC49" i="11"/>
  <c r="S99" i="11" s="1"/>
  <c r="M49" i="11"/>
  <c r="AD27" i="11"/>
  <c r="T77" i="11" s="1"/>
  <c r="Z27" i="11"/>
  <c r="P77" i="11" s="1"/>
  <c r="V27" i="11"/>
  <c r="L77" i="11" s="1"/>
  <c r="L153" i="11" s="1"/>
  <c r="R27" i="11"/>
  <c r="N27" i="11"/>
  <c r="N130" i="11" s="1"/>
  <c r="Y49" i="11"/>
  <c r="O99" i="11" s="1"/>
  <c r="AC27" i="11"/>
  <c r="S77" i="11" s="1"/>
  <c r="S153" i="11" s="1"/>
  <c r="Y27" i="11"/>
  <c r="O77" i="11" s="1"/>
  <c r="O153" i="11" s="1"/>
  <c r="U27" i="11"/>
  <c r="U130" i="11" s="1"/>
  <c r="Q27" i="11"/>
  <c r="M27" i="11"/>
  <c r="M130" i="11" s="1"/>
  <c r="U49" i="11"/>
  <c r="AB27" i="11"/>
  <c r="R77" i="11" s="1"/>
  <c r="R153" i="11" s="1"/>
  <c r="X27" i="11"/>
  <c r="N77" i="11" s="1"/>
  <c r="N153" i="11" s="1"/>
  <c r="T27" i="11"/>
  <c r="T130" i="11" s="1"/>
  <c r="P27" i="11"/>
  <c r="P130" i="11" s="1"/>
  <c r="L27" i="11"/>
  <c r="Q49" i="11"/>
  <c r="AE27" i="11"/>
  <c r="U77" i="11" s="1"/>
  <c r="U153" i="11" s="1"/>
  <c r="AA27" i="11"/>
  <c r="Q77" i="11" s="1"/>
  <c r="Q153" i="11" s="1"/>
  <c r="W27" i="11"/>
  <c r="M77" i="11" s="1"/>
  <c r="S27" i="11"/>
  <c r="S130" i="11" s="1"/>
  <c r="O27" i="11"/>
  <c r="U25" i="2"/>
  <c r="Z27" i="2"/>
  <c r="AD53" i="11"/>
  <c r="T103" i="11" s="1"/>
  <c r="Z53" i="11"/>
  <c r="P103" i="11" s="1"/>
  <c r="V53" i="11"/>
  <c r="L103" i="11" s="1"/>
  <c r="R53" i="11"/>
  <c r="N53" i="11"/>
  <c r="AB53" i="11"/>
  <c r="R103" i="11" s="1"/>
  <c r="X53" i="11"/>
  <c r="N103" i="11" s="1"/>
  <c r="T53" i="11"/>
  <c r="P53" i="11"/>
  <c r="L53" i="11"/>
  <c r="AE53" i="11"/>
  <c r="U103" i="11" s="1"/>
  <c r="AA53" i="11"/>
  <c r="Q103" i="11" s="1"/>
  <c r="W53" i="11"/>
  <c r="M103" i="11" s="1"/>
  <c r="S53" i="11"/>
  <c r="O53" i="11"/>
  <c r="AC53" i="11"/>
  <c r="S103" i="11" s="1"/>
  <c r="M53" i="11"/>
  <c r="AD31" i="11"/>
  <c r="T81" i="11" s="1"/>
  <c r="T157" i="11" s="1"/>
  <c r="Z31" i="11"/>
  <c r="P81" i="11" s="1"/>
  <c r="P157" i="11" s="1"/>
  <c r="V31" i="11"/>
  <c r="L81" i="11" s="1"/>
  <c r="R31" i="11"/>
  <c r="R134" i="11" s="1"/>
  <c r="N31" i="11"/>
  <c r="Y53" i="11"/>
  <c r="O103" i="11" s="1"/>
  <c r="AC31" i="11"/>
  <c r="S81" i="11" s="1"/>
  <c r="S157" i="11" s="1"/>
  <c r="Y31" i="11"/>
  <c r="O81" i="11" s="1"/>
  <c r="U31" i="11"/>
  <c r="Q31" i="11"/>
  <c r="M31" i="11"/>
  <c r="M134" i="11" s="1"/>
  <c r="U53" i="11"/>
  <c r="AB31" i="11"/>
  <c r="R81" i="11" s="1"/>
  <c r="R157" i="11" s="1"/>
  <c r="X31" i="11"/>
  <c r="N81" i="11" s="1"/>
  <c r="N157" i="11" s="1"/>
  <c r="T31" i="11"/>
  <c r="T134" i="11" s="1"/>
  <c r="P31" i="11"/>
  <c r="P134" i="11" s="1"/>
  <c r="L31" i="11"/>
  <c r="Q53" i="11"/>
  <c r="AE31" i="11"/>
  <c r="U81" i="11" s="1"/>
  <c r="AA31" i="11"/>
  <c r="Q81" i="11" s="1"/>
  <c r="Q157" i="11" s="1"/>
  <c r="W31" i="11"/>
  <c r="M81" i="11" s="1"/>
  <c r="M157" i="11" s="1"/>
  <c r="S31" i="11"/>
  <c r="O31" i="11"/>
  <c r="O134" i="11" s="1"/>
  <c r="U29" i="2"/>
  <c r="Z31" i="2"/>
  <c r="AD57" i="11"/>
  <c r="T107" i="11" s="1"/>
  <c r="Z57" i="11"/>
  <c r="P107" i="11" s="1"/>
  <c r="V57" i="11"/>
  <c r="L107" i="11" s="1"/>
  <c r="R57" i="11"/>
  <c r="N57" i="11"/>
  <c r="AC57" i="11"/>
  <c r="S107" i="11" s="1"/>
  <c r="Y57" i="11"/>
  <c r="O107" i="11" s="1"/>
  <c r="U57" i="11"/>
  <c r="Q57" i="11"/>
  <c r="M57" i="11"/>
  <c r="AB57" i="11"/>
  <c r="R107" i="11" s="1"/>
  <c r="X57" i="11"/>
  <c r="N107" i="11" s="1"/>
  <c r="T57" i="11"/>
  <c r="P57" i="11"/>
  <c r="L57" i="11"/>
  <c r="AE57" i="11"/>
  <c r="U107" i="11" s="1"/>
  <c r="AA57" i="11"/>
  <c r="Q107" i="11" s="1"/>
  <c r="W57" i="11"/>
  <c r="M107" i="11" s="1"/>
  <c r="S57" i="11"/>
  <c r="O57" i="11"/>
  <c r="AD35" i="11"/>
  <c r="T85" i="11" s="1"/>
  <c r="T161" i="11" s="1"/>
  <c r="Z35" i="11"/>
  <c r="P85" i="11" s="1"/>
  <c r="P161" i="11" s="1"/>
  <c r="V35" i="11"/>
  <c r="L85" i="11" s="1"/>
  <c r="L161" i="11" s="1"/>
  <c r="R35" i="11"/>
  <c r="R138" i="11" s="1"/>
  <c r="N35" i="11"/>
  <c r="N138" i="11" s="1"/>
  <c r="AC35" i="11"/>
  <c r="S85" i="11" s="1"/>
  <c r="S161" i="11" s="1"/>
  <c r="Y35" i="11"/>
  <c r="O85" i="11" s="1"/>
  <c r="O161" i="11" s="1"/>
  <c r="U35" i="11"/>
  <c r="U138" i="11" s="1"/>
  <c r="Q35" i="11"/>
  <c r="Q138" i="11" s="1"/>
  <c r="M35" i="11"/>
  <c r="M138" i="11" s="1"/>
  <c r="AB35" i="11"/>
  <c r="R85" i="11" s="1"/>
  <c r="R161" i="11" s="1"/>
  <c r="X35" i="11"/>
  <c r="N85" i="11" s="1"/>
  <c r="N161" i="11" s="1"/>
  <c r="T35" i="11"/>
  <c r="T138" i="11" s="1"/>
  <c r="P35" i="11"/>
  <c r="P138" i="11" s="1"/>
  <c r="L35" i="11"/>
  <c r="AE35" i="11"/>
  <c r="U85" i="11" s="1"/>
  <c r="U161" i="11" s="1"/>
  <c r="AA35" i="11"/>
  <c r="Q85" i="11" s="1"/>
  <c r="Q161" i="11" s="1"/>
  <c r="W35" i="11"/>
  <c r="M85" i="11" s="1"/>
  <c r="M161" i="11" s="1"/>
  <c r="S35" i="11"/>
  <c r="S138" i="11" s="1"/>
  <c r="O35" i="11"/>
  <c r="O138" i="11" s="1"/>
  <c r="U33" i="2"/>
  <c r="O95" i="2"/>
  <c r="N79" i="3" s="1"/>
  <c r="E18" i="3"/>
  <c r="E22" i="3"/>
  <c r="E26" i="3"/>
  <c r="E30" i="3"/>
  <c r="P42" i="3"/>
  <c r="P46" i="3"/>
  <c r="P50" i="3"/>
  <c r="P54" i="3"/>
  <c r="P58" i="3"/>
  <c r="M38" i="4"/>
  <c r="M45" i="4" s="1"/>
  <c r="S5" i="14" s="1"/>
  <c r="Q38" i="4"/>
  <c r="Q45" i="4" s="1"/>
  <c r="S9" i="14" s="1"/>
  <c r="U38" i="4"/>
  <c r="U45" i="4" s="1"/>
  <c r="S13" i="14" s="1"/>
  <c r="Y38" i="4"/>
  <c r="Y45" i="4" s="1"/>
  <c r="S17" i="14" s="1"/>
  <c r="AC38" i="4"/>
  <c r="AC45" i="4" s="1"/>
  <c r="S21" i="14" s="1"/>
  <c r="AE39" i="11"/>
  <c r="AA39" i="11"/>
  <c r="W39" i="11"/>
  <c r="S39" i="11"/>
  <c r="O39" i="11"/>
  <c r="AC39" i="11"/>
  <c r="X39" i="11"/>
  <c r="N89" i="11" s="1"/>
  <c r="R39" i="11"/>
  <c r="M39" i="11"/>
  <c r="AC17" i="11"/>
  <c r="Y17" i="11"/>
  <c r="U17" i="11"/>
  <c r="Q17" i="11"/>
  <c r="M17" i="11"/>
  <c r="AB39" i="11"/>
  <c r="R89" i="11" s="1"/>
  <c r="V39" i="11"/>
  <c r="L89" i="11" s="1"/>
  <c r="Q39" i="11"/>
  <c r="L39" i="11"/>
  <c r="Z39" i="11"/>
  <c r="P89" i="11" s="1"/>
  <c r="U39" i="11"/>
  <c r="P39" i="11"/>
  <c r="AE17" i="11"/>
  <c r="AA17" i="11"/>
  <c r="Q67" i="11" s="1"/>
  <c r="W17" i="11"/>
  <c r="M67" i="11" s="1"/>
  <c r="S17" i="11"/>
  <c r="O17" i="11"/>
  <c r="AD39" i="11"/>
  <c r="T89" i="11" s="1"/>
  <c r="Y39" i="11"/>
  <c r="O89" i="11" s="1"/>
  <c r="T39" i="11"/>
  <c r="N39" i="11"/>
  <c r="AD17" i="11"/>
  <c r="T67" i="11" s="1"/>
  <c r="T143" i="11" s="1"/>
  <c r="Z17" i="11"/>
  <c r="V17" i="11"/>
  <c r="R17" i="11"/>
  <c r="N17" i="11"/>
  <c r="AB17" i="11"/>
  <c r="R67" i="11" s="1"/>
  <c r="R143" i="11" s="1"/>
  <c r="L17" i="11"/>
  <c r="X17" i="11"/>
  <c r="T17" i="11"/>
  <c r="P17" i="11"/>
  <c r="AD44" i="11"/>
  <c r="T94" i="11" s="1"/>
  <c r="Z44" i="11"/>
  <c r="P94" i="11" s="1"/>
  <c r="V44" i="11"/>
  <c r="L94" i="11" s="1"/>
  <c r="R44" i="11"/>
  <c r="N44" i="11"/>
  <c r="AA44" i="11"/>
  <c r="Q94" i="11" s="1"/>
  <c r="U44" i="11"/>
  <c r="P44" i="11"/>
  <c r="AB22" i="11"/>
  <c r="R72" i="11" s="1"/>
  <c r="R148" i="11" s="1"/>
  <c r="X22" i="11"/>
  <c r="N72" i="11" s="1"/>
  <c r="T22" i="11"/>
  <c r="P22" i="11"/>
  <c r="P125" i="11" s="1"/>
  <c r="L22" i="11"/>
  <c r="AE44" i="11"/>
  <c r="U94" i="11" s="1"/>
  <c r="Y44" i="11"/>
  <c r="O94" i="11" s="1"/>
  <c r="T44" i="11"/>
  <c r="O44" i="11"/>
  <c r="AC44" i="11"/>
  <c r="S94" i="11" s="1"/>
  <c r="X44" i="11"/>
  <c r="N94" i="11" s="1"/>
  <c r="S44" i="11"/>
  <c r="M44" i="11"/>
  <c r="AD22" i="11"/>
  <c r="T72" i="11" s="1"/>
  <c r="Z22" i="11"/>
  <c r="P72" i="11" s="1"/>
  <c r="P148" i="11" s="1"/>
  <c r="V22" i="11"/>
  <c r="L72" i="11" s="1"/>
  <c r="L148" i="11" s="1"/>
  <c r="R22" i="11"/>
  <c r="R125" i="11" s="1"/>
  <c r="N22" i="11"/>
  <c r="AB44" i="11"/>
  <c r="R94" i="11" s="1"/>
  <c r="W44" i="11"/>
  <c r="M94" i="11" s="1"/>
  <c r="Q44" i="11"/>
  <c r="L44" i="11"/>
  <c r="AC22" i="11"/>
  <c r="S72" i="11" s="1"/>
  <c r="S148" i="11" s="1"/>
  <c r="Y22" i="11"/>
  <c r="O72" i="11" s="1"/>
  <c r="O148" i="11" s="1"/>
  <c r="U22" i="11"/>
  <c r="U125" i="11" s="1"/>
  <c r="Q22" i="11"/>
  <c r="M22" i="11"/>
  <c r="W22" i="11"/>
  <c r="M72" i="11" s="1"/>
  <c r="M148" i="11" s="1"/>
  <c r="S22" i="11"/>
  <c r="S125" i="11" s="1"/>
  <c r="AE22" i="11"/>
  <c r="U72" i="11" s="1"/>
  <c r="U148" i="11" s="1"/>
  <c r="O22" i="11"/>
  <c r="AA22" i="11"/>
  <c r="Q72" i="11" s="1"/>
  <c r="Q148" i="11" s="1"/>
  <c r="G14" i="2"/>
  <c r="AD42" i="11"/>
  <c r="T92" i="11" s="1"/>
  <c r="Z42" i="11"/>
  <c r="P92" i="11" s="1"/>
  <c r="V42" i="11"/>
  <c r="L92" i="11" s="1"/>
  <c r="R42" i="11"/>
  <c r="N42" i="11"/>
  <c r="AB42" i="11"/>
  <c r="R92" i="11" s="1"/>
  <c r="W42" i="11"/>
  <c r="M92" i="11" s="1"/>
  <c r="Q42" i="11"/>
  <c r="L42" i="11"/>
  <c r="AB20" i="11"/>
  <c r="R70" i="11" s="1"/>
  <c r="R146" i="11" s="1"/>
  <c r="X20" i="11"/>
  <c r="N70" i="11" s="1"/>
  <c r="T20" i="11"/>
  <c r="P20" i="11"/>
  <c r="L20" i="11"/>
  <c r="AA42" i="11"/>
  <c r="Q92" i="11" s="1"/>
  <c r="U42" i="11"/>
  <c r="P42" i="11"/>
  <c r="AE42" i="11"/>
  <c r="U92" i="11" s="1"/>
  <c r="Y42" i="11"/>
  <c r="O92" i="11" s="1"/>
  <c r="T42" i="11"/>
  <c r="O42" i="11"/>
  <c r="AD20" i="11"/>
  <c r="T70" i="11" s="1"/>
  <c r="T146" i="11" s="1"/>
  <c r="Z20" i="11"/>
  <c r="P70" i="11" s="1"/>
  <c r="P146" i="11" s="1"/>
  <c r="V20" i="11"/>
  <c r="L70" i="11" s="1"/>
  <c r="L146" i="11" s="1"/>
  <c r="R20" i="11"/>
  <c r="N20" i="11"/>
  <c r="N123" i="11" s="1"/>
  <c r="AC42" i="11"/>
  <c r="S92" i="11" s="1"/>
  <c r="X42" i="11"/>
  <c r="N92" i="11" s="1"/>
  <c r="S42" i="11"/>
  <c r="M42" i="11"/>
  <c r="AC20" i="11"/>
  <c r="S70" i="11" s="1"/>
  <c r="S146" i="11" s="1"/>
  <c r="Y20" i="11"/>
  <c r="O70" i="11" s="1"/>
  <c r="O146" i="11" s="1"/>
  <c r="U20" i="11"/>
  <c r="Q20" i="11"/>
  <c r="M20" i="11"/>
  <c r="M123" i="11" s="1"/>
  <c r="W20" i="11"/>
  <c r="M70" i="11" s="1"/>
  <c r="M146" i="11" s="1"/>
  <c r="S20" i="11"/>
  <c r="S123" i="11" s="1"/>
  <c r="AE20" i="11"/>
  <c r="U70" i="11" s="1"/>
  <c r="U146" i="11" s="1"/>
  <c r="O20" i="11"/>
  <c r="O123" i="11" s="1"/>
  <c r="AA20" i="11"/>
  <c r="Q70" i="11" s="1"/>
  <c r="Q146" i="11" s="1"/>
  <c r="E21" i="2"/>
  <c r="AB50" i="11"/>
  <c r="R100" i="11" s="1"/>
  <c r="X50" i="11"/>
  <c r="N100" i="11" s="1"/>
  <c r="T50" i="11"/>
  <c r="P50" i="11"/>
  <c r="L50" i="11"/>
  <c r="AD50" i="11"/>
  <c r="T100" i="11" s="1"/>
  <c r="Z50" i="11"/>
  <c r="P100" i="11" s="1"/>
  <c r="V50" i="11"/>
  <c r="L100" i="11" s="1"/>
  <c r="R50" i="11"/>
  <c r="N50" i="11"/>
  <c r="AC50" i="11"/>
  <c r="S100" i="11" s="1"/>
  <c r="Y50" i="11"/>
  <c r="O100" i="11" s="1"/>
  <c r="U50" i="11"/>
  <c r="Q50" i="11"/>
  <c r="M50" i="11"/>
  <c r="W50" i="11"/>
  <c r="M100" i="11" s="1"/>
  <c r="AB28" i="11"/>
  <c r="R78" i="11" s="1"/>
  <c r="R154" i="11" s="1"/>
  <c r="X28" i="11"/>
  <c r="N78" i="11" s="1"/>
  <c r="N154" i="11" s="1"/>
  <c r="T28" i="11"/>
  <c r="T131" i="11" s="1"/>
  <c r="P28" i="11"/>
  <c r="P131" i="11" s="1"/>
  <c r="L28" i="11"/>
  <c r="S50" i="11"/>
  <c r="AE28" i="11"/>
  <c r="U78" i="11" s="1"/>
  <c r="U154" i="11" s="1"/>
  <c r="AA28" i="11"/>
  <c r="Q78" i="11" s="1"/>
  <c r="W28" i="11"/>
  <c r="M78" i="11" s="1"/>
  <c r="M154" i="11" s="1"/>
  <c r="S28" i="11"/>
  <c r="S131" i="11" s="1"/>
  <c r="O28" i="11"/>
  <c r="O131" i="11" s="1"/>
  <c r="AE50" i="11"/>
  <c r="U100" i="11" s="1"/>
  <c r="O50" i="11"/>
  <c r="AD28" i="11"/>
  <c r="T78" i="11" s="1"/>
  <c r="T154" i="11" s="1"/>
  <c r="Z28" i="11"/>
  <c r="P78" i="11" s="1"/>
  <c r="P154" i="11" s="1"/>
  <c r="V28" i="11"/>
  <c r="L78" i="11" s="1"/>
  <c r="L154" i="11" s="1"/>
  <c r="R28" i="11"/>
  <c r="R131" i="11" s="1"/>
  <c r="N28" i="11"/>
  <c r="N131" i="11" s="1"/>
  <c r="AA50" i="11"/>
  <c r="Q100" i="11" s="1"/>
  <c r="AC28" i="11"/>
  <c r="S78" i="11" s="1"/>
  <c r="Y28" i="11"/>
  <c r="O78" i="11" s="1"/>
  <c r="O154" i="11" s="1"/>
  <c r="U28" i="11"/>
  <c r="U131" i="11" s="1"/>
  <c r="Q28" i="11"/>
  <c r="Q131" i="11" s="1"/>
  <c r="M28" i="11"/>
  <c r="E29" i="2"/>
  <c r="AB54" i="11"/>
  <c r="R104" i="11" s="1"/>
  <c r="X54" i="11"/>
  <c r="N104" i="11" s="1"/>
  <c r="T54" i="11"/>
  <c r="P54" i="11"/>
  <c r="L54" i="11"/>
  <c r="AD54" i="11"/>
  <c r="T104" i="11" s="1"/>
  <c r="Z54" i="11"/>
  <c r="P104" i="11" s="1"/>
  <c r="V54" i="11"/>
  <c r="L104" i="11" s="1"/>
  <c r="R54" i="11"/>
  <c r="N54" i="11"/>
  <c r="AC54" i="11"/>
  <c r="S104" i="11" s="1"/>
  <c r="Y54" i="11"/>
  <c r="O104" i="11" s="1"/>
  <c r="U54" i="11"/>
  <c r="Q54" i="11"/>
  <c r="M54" i="11"/>
  <c r="W54" i="11"/>
  <c r="M104" i="11" s="1"/>
  <c r="AB32" i="11"/>
  <c r="R82" i="11" s="1"/>
  <c r="R158" i="11" s="1"/>
  <c r="X32" i="11"/>
  <c r="N82" i="11" s="1"/>
  <c r="N158" i="11" s="1"/>
  <c r="T32" i="11"/>
  <c r="T135" i="11" s="1"/>
  <c r="P32" i="11"/>
  <c r="P135" i="11" s="1"/>
  <c r="L32" i="11"/>
  <c r="S54" i="11"/>
  <c r="AE32" i="11"/>
  <c r="U82" i="11" s="1"/>
  <c r="AA32" i="11"/>
  <c r="Q82" i="11" s="1"/>
  <c r="Q158" i="11" s="1"/>
  <c r="W32" i="11"/>
  <c r="M82" i="11" s="1"/>
  <c r="M158" i="11" s="1"/>
  <c r="S32" i="11"/>
  <c r="S135" i="11" s="1"/>
  <c r="O32" i="11"/>
  <c r="AE54" i="11"/>
  <c r="U104" i="11" s="1"/>
  <c r="O54" i="11"/>
  <c r="AD32" i="11"/>
  <c r="T82" i="11" s="1"/>
  <c r="T158" i="11" s="1"/>
  <c r="Z32" i="11"/>
  <c r="P82" i="11" s="1"/>
  <c r="P158" i="11" s="1"/>
  <c r="V32" i="11"/>
  <c r="L82" i="11" s="1"/>
  <c r="L158" i="11" s="1"/>
  <c r="R32" i="11"/>
  <c r="R135" i="11" s="1"/>
  <c r="N32" i="11"/>
  <c r="N135" i="11" s="1"/>
  <c r="AA54" i="11"/>
  <c r="Q104" i="11" s="1"/>
  <c r="AC32" i="11"/>
  <c r="S82" i="11" s="1"/>
  <c r="S158" i="11" s="1"/>
  <c r="Y32" i="11"/>
  <c r="O82" i="11" s="1"/>
  <c r="O158" i="11" s="1"/>
  <c r="U32" i="11"/>
  <c r="U135" i="11" s="1"/>
  <c r="Q32" i="11"/>
  <c r="M32" i="11"/>
  <c r="E33" i="2"/>
  <c r="AB58" i="11"/>
  <c r="R108" i="11" s="1"/>
  <c r="X58" i="11"/>
  <c r="N108" i="11" s="1"/>
  <c r="T58" i="11"/>
  <c r="P58" i="11"/>
  <c r="L58" i="11"/>
  <c r="AE58" i="11"/>
  <c r="U108" i="11" s="1"/>
  <c r="AA58" i="11"/>
  <c r="Q108" i="11" s="1"/>
  <c r="W58" i="11"/>
  <c r="M108" i="11" s="1"/>
  <c r="S58" i="11"/>
  <c r="O58" i="11"/>
  <c r="AD58" i="11"/>
  <c r="T108" i="11" s="1"/>
  <c r="Z58" i="11"/>
  <c r="P108" i="11" s="1"/>
  <c r="V58" i="11"/>
  <c r="L108" i="11" s="1"/>
  <c r="R58" i="11"/>
  <c r="N58" i="11"/>
  <c r="AC58" i="11"/>
  <c r="S108" i="11" s="1"/>
  <c r="Y58" i="11"/>
  <c r="O108" i="11" s="1"/>
  <c r="U58" i="11"/>
  <c r="Q58" i="11"/>
  <c r="M58" i="11"/>
  <c r="AB36" i="11"/>
  <c r="R86" i="11" s="1"/>
  <c r="R162" i="11" s="1"/>
  <c r="X36" i="11"/>
  <c r="N86" i="11" s="1"/>
  <c r="N162" i="11" s="1"/>
  <c r="T36" i="11"/>
  <c r="T139" i="11" s="1"/>
  <c r="P36" i="11"/>
  <c r="P139" i="11" s="1"/>
  <c r="L36" i="11"/>
  <c r="AE36" i="11"/>
  <c r="U86" i="11" s="1"/>
  <c r="U162" i="11" s="1"/>
  <c r="AA36" i="11"/>
  <c r="Q86" i="11" s="1"/>
  <c r="Q162" i="11" s="1"/>
  <c r="W36" i="11"/>
  <c r="M86" i="11" s="1"/>
  <c r="M162" i="11" s="1"/>
  <c r="S36" i="11"/>
  <c r="S139" i="11" s="1"/>
  <c r="O36" i="11"/>
  <c r="O139" i="11" s="1"/>
  <c r="AD36" i="11"/>
  <c r="T86" i="11" s="1"/>
  <c r="T162" i="11" s="1"/>
  <c r="Z36" i="11"/>
  <c r="P86" i="11" s="1"/>
  <c r="P162" i="11" s="1"/>
  <c r="V36" i="11"/>
  <c r="L86" i="11" s="1"/>
  <c r="L162" i="11" s="1"/>
  <c r="R36" i="11"/>
  <c r="R139" i="11" s="1"/>
  <c r="N36" i="11"/>
  <c r="N139" i="11" s="1"/>
  <c r="AC36" i="11"/>
  <c r="S86" i="11" s="1"/>
  <c r="S162" i="11" s="1"/>
  <c r="Y36" i="11"/>
  <c r="O86" i="11" s="1"/>
  <c r="O162" i="11" s="1"/>
  <c r="U36" i="11"/>
  <c r="U139" i="11" s="1"/>
  <c r="Q36" i="11"/>
  <c r="Q139" i="11" s="1"/>
  <c r="M36" i="11"/>
  <c r="M139" i="11" s="1"/>
  <c r="P43" i="3"/>
  <c r="P47" i="3"/>
  <c r="P51" i="3"/>
  <c r="P55" i="3"/>
  <c r="P59" i="3"/>
  <c r="J34" i="4"/>
  <c r="J48" i="4" s="1"/>
  <c r="J36" i="4"/>
  <c r="J43" i="5"/>
  <c r="L28" i="5"/>
  <c r="P28" i="5"/>
  <c r="T28" i="5"/>
  <c r="X28" i="5"/>
  <c r="AB28" i="5"/>
  <c r="L39" i="5"/>
  <c r="L42" i="5" s="1"/>
  <c r="P39" i="5"/>
  <c r="P42" i="5" s="1"/>
  <c r="T39" i="5"/>
  <c r="T42" i="5" s="1"/>
  <c r="X39" i="5"/>
  <c r="X42" i="5" s="1"/>
  <c r="AB39" i="5"/>
  <c r="AB42" i="5" s="1"/>
  <c r="K9" i="6"/>
  <c r="E14" i="6"/>
  <c r="E18" i="6"/>
  <c r="E22" i="6"/>
  <c r="E26" i="6"/>
  <c r="G10" i="7"/>
  <c r="K9" i="8"/>
  <c r="C11" i="10"/>
  <c r="Q14" i="11"/>
  <c r="Y14" i="11"/>
  <c r="M28" i="5"/>
  <c r="Q28" i="5"/>
  <c r="U28" i="5"/>
  <c r="Y28" i="5"/>
  <c r="AC28" i="5"/>
  <c r="M39" i="5"/>
  <c r="M42" i="5" s="1"/>
  <c r="Q39" i="5"/>
  <c r="Q42" i="5" s="1"/>
  <c r="U39" i="5"/>
  <c r="U42" i="5" s="1"/>
  <c r="Y39" i="5"/>
  <c r="Y42" i="5" s="1"/>
  <c r="AC39" i="5"/>
  <c r="AC42" i="5" s="1"/>
  <c r="F10" i="6"/>
  <c r="E15" i="6"/>
  <c r="E19" i="6"/>
  <c r="E23" i="6"/>
  <c r="E27" i="6"/>
  <c r="I10" i="7"/>
  <c r="I10" i="10"/>
  <c r="K10" i="10"/>
  <c r="J28" i="5"/>
  <c r="N28" i="5"/>
  <c r="R28" i="5"/>
  <c r="V28" i="5"/>
  <c r="Z28" i="5"/>
  <c r="J39" i="5"/>
  <c r="J42" i="5" s="1"/>
  <c r="N39" i="5"/>
  <c r="N42" i="5" s="1"/>
  <c r="R39" i="5"/>
  <c r="R42" i="5" s="1"/>
  <c r="V39" i="5"/>
  <c r="V42" i="5" s="1"/>
  <c r="Z39" i="5"/>
  <c r="Z42" i="5" s="1"/>
  <c r="C10" i="6"/>
  <c r="G10" i="6"/>
  <c r="E16" i="6"/>
  <c r="E20" i="6"/>
  <c r="E24" i="6"/>
  <c r="E28" i="6"/>
  <c r="K10" i="9"/>
  <c r="I10" i="9"/>
  <c r="O14" i="11"/>
  <c r="S14" i="11"/>
  <c r="W14" i="11"/>
  <c r="AA14" i="11"/>
  <c r="AE14" i="11"/>
  <c r="U64" i="11" s="1"/>
  <c r="K28" i="5"/>
  <c r="O28" i="5"/>
  <c r="S28" i="5"/>
  <c r="W28" i="5"/>
  <c r="AA28" i="5"/>
  <c r="K39" i="5"/>
  <c r="K42" i="5" s="1"/>
  <c r="O39" i="5"/>
  <c r="O42" i="5" s="1"/>
  <c r="S39" i="5"/>
  <c r="S42" i="5" s="1"/>
  <c r="W39" i="5"/>
  <c r="W42" i="5" s="1"/>
  <c r="AA39" i="5"/>
  <c r="AA42" i="5" s="1"/>
  <c r="E13" i="6"/>
  <c r="E17" i="6"/>
  <c r="E21" i="6"/>
  <c r="E29" i="6"/>
  <c r="E12" i="8"/>
  <c r="E16" i="8" s="1"/>
  <c r="C10" i="8"/>
  <c r="E15" i="8"/>
  <c r="E14" i="8"/>
  <c r="L14" i="11"/>
  <c r="C10" i="9"/>
  <c r="C10" i="10"/>
  <c r="F11" i="10"/>
  <c r="N14" i="11"/>
  <c r="R14" i="11"/>
  <c r="V14" i="11"/>
  <c r="Z14" i="11"/>
  <c r="AD14" i="11"/>
  <c r="E15" i="11"/>
  <c r="P14" i="11"/>
  <c r="T14" i="11"/>
  <c r="X14" i="11"/>
  <c r="AB14" i="11"/>
  <c r="Q95" i="13"/>
  <c r="X5" i="14"/>
  <c r="Q95" i="12"/>
  <c r="AD118" i="14"/>
  <c r="AC118" i="14" s="1"/>
  <c r="W5" i="14"/>
  <c r="X6" i="14"/>
  <c r="AB89" i="14"/>
  <c r="V7" i="14"/>
  <c r="AB99" i="14"/>
  <c r="AB100" i="14"/>
  <c r="AD100" i="14" s="1"/>
  <c r="AB101" i="14"/>
  <c r="AB102" i="14"/>
  <c r="AB103" i="14"/>
  <c r="AB104" i="14"/>
  <c r="AD104" i="14" s="1"/>
  <c r="AB105" i="14"/>
  <c r="AB106" i="14"/>
  <c r="AB107" i="14"/>
  <c r="AB108" i="14"/>
  <c r="AD108" i="14" s="1"/>
  <c r="AB109" i="14"/>
  <c r="AB110" i="14"/>
  <c r="AB111" i="14"/>
  <c r="AB112" i="14"/>
  <c r="AD112" i="14" s="1"/>
  <c r="AB113" i="14"/>
  <c r="AB114" i="14"/>
  <c r="AB115" i="14"/>
  <c r="AB116" i="14"/>
  <c r="AD116" i="14" s="1"/>
  <c r="AB117" i="14"/>
  <c r="AB91" i="14"/>
  <c r="AB96" i="14"/>
  <c r="AD99" i="14"/>
  <c r="AD101" i="14"/>
  <c r="AD103" i="14"/>
  <c r="AD105" i="14"/>
  <c r="AD107" i="14"/>
  <c r="AD109" i="14"/>
  <c r="AD111" i="14"/>
  <c r="AD113" i="14"/>
  <c r="AD115" i="14"/>
  <c r="AD117" i="14"/>
  <c r="U158" i="11" l="1"/>
  <c r="S154" i="11"/>
  <c r="Q154" i="11"/>
  <c r="T148" i="11"/>
  <c r="N148" i="11"/>
  <c r="U157" i="11"/>
  <c r="L157" i="11"/>
  <c r="M153" i="11"/>
  <c r="T153" i="11"/>
  <c r="S149" i="11"/>
  <c r="Q149" i="11"/>
  <c r="R145" i="11"/>
  <c r="O156" i="11"/>
  <c r="M156" i="11"/>
  <c r="M152" i="11"/>
  <c r="O152" i="11"/>
  <c r="N146" i="11"/>
  <c r="L149" i="11"/>
  <c r="S145" i="11"/>
  <c r="Q145" i="11"/>
  <c r="L145" i="11"/>
  <c r="U156" i="11"/>
  <c r="U152" i="11"/>
  <c r="O157" i="11"/>
  <c r="P153" i="11"/>
  <c r="M149" i="11"/>
  <c r="R149" i="11"/>
  <c r="R142" i="11" s="1"/>
  <c r="P149" i="11"/>
  <c r="U145" i="11"/>
  <c r="N145" i="11"/>
  <c r="P145" i="11"/>
  <c r="W7" i="14"/>
  <c r="X7" i="14" s="1"/>
  <c r="V8" i="14"/>
  <c r="AC117" i="14"/>
  <c r="AC113" i="14"/>
  <c r="AC109" i="14"/>
  <c r="AC105" i="14"/>
  <c r="AC101" i="14"/>
  <c r="AB90" i="14"/>
  <c r="D10" i="10"/>
  <c r="B10" i="10"/>
  <c r="S40" i="4"/>
  <c r="N40" i="4"/>
  <c r="Y40" i="4"/>
  <c r="C11" i="7"/>
  <c r="G11" i="7" s="1"/>
  <c r="X40" i="4"/>
  <c r="Q135" i="11"/>
  <c r="O135" i="11"/>
  <c r="M131" i="11"/>
  <c r="U123" i="11"/>
  <c r="R123" i="11"/>
  <c r="P123" i="11"/>
  <c r="E42" i="11"/>
  <c r="Q125" i="11"/>
  <c r="E44" i="11"/>
  <c r="N125" i="11"/>
  <c r="X16" i="11"/>
  <c r="N66" i="11" s="1"/>
  <c r="R120" i="11"/>
  <c r="R16" i="11"/>
  <c r="R37" i="11" s="1"/>
  <c r="R59" i="11" s="1"/>
  <c r="N38" i="11"/>
  <c r="O120" i="11"/>
  <c r="O16" i="11"/>
  <c r="AE16" i="11"/>
  <c r="U66" i="11" s="1"/>
  <c r="E39" i="11"/>
  <c r="L38" i="11"/>
  <c r="M120" i="11"/>
  <c r="M16" i="11"/>
  <c r="M37" i="11" s="1"/>
  <c r="AC16" i="11"/>
  <c r="AC38" i="11"/>
  <c r="S88" i="11" s="1"/>
  <c r="AA38" i="11"/>
  <c r="Q88" i="11" s="1"/>
  <c r="L134" i="11"/>
  <c r="E31" i="11"/>
  <c r="U134" i="11"/>
  <c r="N134" i="11"/>
  <c r="E53" i="11"/>
  <c r="O130" i="11"/>
  <c r="S126" i="11"/>
  <c r="T122" i="11"/>
  <c r="L137" i="11"/>
  <c r="E137" i="11" s="1"/>
  <c r="E34" i="11"/>
  <c r="E56" i="11"/>
  <c r="L133" i="11"/>
  <c r="E30" i="11"/>
  <c r="E52" i="11"/>
  <c r="L129" i="11"/>
  <c r="E26" i="11"/>
  <c r="E48" i="11"/>
  <c r="S67" i="11"/>
  <c r="S89" i="11"/>
  <c r="Q64" i="11"/>
  <c r="Q89" i="11"/>
  <c r="Q143" i="11" s="1"/>
  <c r="Q142" i="11" s="1"/>
  <c r="M164" i="11"/>
  <c r="L165" i="11" s="1"/>
  <c r="L115" i="11"/>
  <c r="T155" i="11"/>
  <c r="T159" i="11"/>
  <c r="L136" i="11"/>
  <c r="E33" i="11"/>
  <c r="E55" i="11"/>
  <c r="E47" i="11"/>
  <c r="R124" i="11"/>
  <c r="T121" i="11"/>
  <c r="L7" i="5"/>
  <c r="L32" i="5" s="1"/>
  <c r="L7" i="4"/>
  <c r="AC116" i="14"/>
  <c r="AC108" i="14"/>
  <c r="AC100" i="14"/>
  <c r="X37" i="11"/>
  <c r="D10" i="9"/>
  <c r="B10" i="9"/>
  <c r="B10" i="8"/>
  <c r="D10" i="8"/>
  <c r="O40" i="4"/>
  <c r="E31" i="8"/>
  <c r="Z40" i="4"/>
  <c r="J40" i="4"/>
  <c r="J43" i="4" s="1"/>
  <c r="U40" i="4"/>
  <c r="D11" i="10"/>
  <c r="B11" i="10"/>
  <c r="I10" i="6"/>
  <c r="K10" i="6"/>
  <c r="T40" i="4"/>
  <c r="L139" i="11"/>
  <c r="E139" i="11" s="1"/>
  <c r="E36" i="11"/>
  <c r="E58" i="11"/>
  <c r="T123" i="11"/>
  <c r="J38" i="5"/>
  <c r="J45" i="5" s="1"/>
  <c r="J38" i="4"/>
  <c r="J45" i="4" s="1"/>
  <c r="U14" i="2"/>
  <c r="G13" i="2"/>
  <c r="L125" i="11"/>
  <c r="E22" i="11"/>
  <c r="L120" i="11"/>
  <c r="E17" i="11"/>
  <c r="L16" i="11"/>
  <c r="V16" i="11"/>
  <c r="L66" i="11" s="1"/>
  <c r="T38" i="11"/>
  <c r="S120" i="11"/>
  <c r="S16" i="11"/>
  <c r="P38" i="11"/>
  <c r="Q38" i="11"/>
  <c r="Q120" i="11"/>
  <c r="Q16" i="11"/>
  <c r="Q37" i="11" s="1"/>
  <c r="Q59" i="11" s="1"/>
  <c r="M38" i="11"/>
  <c r="O38" i="11"/>
  <c r="AE38" i="11"/>
  <c r="U88" i="11" s="1"/>
  <c r="L138" i="11"/>
  <c r="E138" i="11" s="1"/>
  <c r="E35" i="11"/>
  <c r="E57" i="11"/>
  <c r="Y7" i="5"/>
  <c r="Y32" i="5" s="1"/>
  <c r="Y7" i="4"/>
  <c r="Q130" i="11"/>
  <c r="Q7" i="5"/>
  <c r="Q32" i="5" s="1"/>
  <c r="Q7" i="4"/>
  <c r="L126" i="11"/>
  <c r="E23" i="11"/>
  <c r="K12" i="7"/>
  <c r="I12" i="7"/>
  <c r="M129" i="11"/>
  <c r="N64" i="11"/>
  <c r="O64" i="11"/>
  <c r="L64" i="11"/>
  <c r="P147" i="11"/>
  <c r="P151" i="11"/>
  <c r="L151" i="11"/>
  <c r="U89" i="11"/>
  <c r="N147" i="11"/>
  <c r="N151" i="11"/>
  <c r="N155" i="11"/>
  <c r="N159" i="11"/>
  <c r="AA7" i="5"/>
  <c r="AA32" i="5" s="1"/>
  <c r="AA7" i="4"/>
  <c r="R136" i="11"/>
  <c r="S132" i="11"/>
  <c r="Q132" i="11"/>
  <c r="S7" i="5"/>
  <c r="S32" i="5" s="1"/>
  <c r="S7" i="4"/>
  <c r="L128" i="11"/>
  <c r="E25" i="11"/>
  <c r="R128" i="11"/>
  <c r="U124" i="11"/>
  <c r="O124" i="11"/>
  <c r="O121" i="11"/>
  <c r="M121" i="11"/>
  <c r="AB7" i="5"/>
  <c r="AB32" i="5" s="1"/>
  <c r="AB7" i="4"/>
  <c r="E24" i="4"/>
  <c r="E20" i="4"/>
  <c r="E16" i="4"/>
  <c r="E12" i="4"/>
  <c r="E8" i="4"/>
  <c r="E27" i="4"/>
  <c r="E23" i="4"/>
  <c r="E19" i="4"/>
  <c r="E15" i="4"/>
  <c r="E11" i="4"/>
  <c r="E26" i="4"/>
  <c r="E22" i="4"/>
  <c r="E18" i="4"/>
  <c r="E14" i="4"/>
  <c r="E10" i="4"/>
  <c r="E25" i="4"/>
  <c r="E21" i="4"/>
  <c r="E17" i="4"/>
  <c r="E13" i="4"/>
  <c r="E9" i="4"/>
  <c r="AB13" i="2"/>
  <c r="P7" i="5"/>
  <c r="P32" i="5" s="1"/>
  <c r="P7" i="4"/>
  <c r="AC112" i="14"/>
  <c r="AC104" i="14"/>
  <c r="AD114" i="14"/>
  <c r="AC114" i="14" s="1"/>
  <c r="AD110" i="14"/>
  <c r="AC110" i="14" s="1"/>
  <c r="AD106" i="14"/>
  <c r="AC106" i="14" s="1"/>
  <c r="AD102" i="14"/>
  <c r="AC102" i="14" s="1"/>
  <c r="AC115" i="14"/>
  <c r="AC111" i="14"/>
  <c r="AC107" i="14"/>
  <c r="AC103" i="14"/>
  <c r="AC99" i="14"/>
  <c r="L37" i="11"/>
  <c r="AA44" i="5"/>
  <c r="AA40" i="4"/>
  <c r="K40" i="4"/>
  <c r="S37" i="11"/>
  <c r="K11" i="9"/>
  <c r="I11" i="9"/>
  <c r="G11" i="6"/>
  <c r="C11" i="6"/>
  <c r="V40" i="4"/>
  <c r="Q44" i="5"/>
  <c r="Q40" i="4"/>
  <c r="P44" i="5"/>
  <c r="P40" i="4"/>
  <c r="L135" i="11"/>
  <c r="E32" i="11"/>
  <c r="E54" i="11"/>
  <c r="P120" i="11"/>
  <c r="P16" i="11"/>
  <c r="P37" i="11" s="1"/>
  <c r="P59" i="11" s="1"/>
  <c r="AB16" i="11"/>
  <c r="R66" i="11" s="1"/>
  <c r="Z16" i="11"/>
  <c r="P66" i="11" s="1"/>
  <c r="Y38" i="11"/>
  <c r="O88" i="11" s="1"/>
  <c r="W16" i="11"/>
  <c r="M66" i="11" s="1"/>
  <c r="U38" i="11"/>
  <c r="V38" i="11"/>
  <c r="L88" i="11" s="1"/>
  <c r="U120" i="11"/>
  <c r="U16" i="11"/>
  <c r="U37" i="11" s="1"/>
  <c r="U59" i="11" s="1"/>
  <c r="R38" i="11"/>
  <c r="S38" i="11"/>
  <c r="L130" i="11"/>
  <c r="E27" i="11"/>
  <c r="E49" i="11"/>
  <c r="E45" i="11"/>
  <c r="L122" i="11"/>
  <c r="E19" i="11"/>
  <c r="N122" i="11"/>
  <c r="R64" i="11"/>
  <c r="P64" i="11"/>
  <c r="L67" i="11"/>
  <c r="L143" i="11" s="1"/>
  <c r="U67" i="11"/>
  <c r="U143" i="11" s="1"/>
  <c r="U142" i="11" s="1"/>
  <c r="L159" i="11"/>
  <c r="E31" i="6"/>
  <c r="L132" i="11"/>
  <c r="E29" i="11"/>
  <c r="E51" i="11"/>
  <c r="L124" i="11"/>
  <c r="E21" i="11"/>
  <c r="L127" i="11"/>
  <c r="E127" i="11" s="1"/>
  <c r="E24" i="11"/>
  <c r="E46" i="11"/>
  <c r="L121" i="11"/>
  <c r="Z7" i="5"/>
  <c r="Z32" i="5" s="1"/>
  <c r="Z7" i="4"/>
  <c r="X7" i="5"/>
  <c r="X32" i="5" s="1"/>
  <c r="X7" i="4"/>
  <c r="T7" i="5"/>
  <c r="T32" i="5" s="1"/>
  <c r="T7" i="4"/>
  <c r="V7" i="5"/>
  <c r="V32" i="5" s="1"/>
  <c r="V7" i="4"/>
  <c r="E11" i="10"/>
  <c r="W40" i="4"/>
  <c r="AE37" i="11"/>
  <c r="O37" i="11"/>
  <c r="O59" i="11" s="1"/>
  <c r="B10" i="6"/>
  <c r="R40" i="4"/>
  <c r="AC44" i="5"/>
  <c r="AC40" i="4"/>
  <c r="M40" i="4"/>
  <c r="K10" i="8"/>
  <c r="I10" i="8"/>
  <c r="AB44" i="5"/>
  <c r="AB40" i="4"/>
  <c r="L44" i="5"/>
  <c r="L40" i="4"/>
  <c r="J42" i="4"/>
  <c r="M135" i="11"/>
  <c r="L131" i="11"/>
  <c r="E131" i="11" s="1"/>
  <c r="E28" i="11"/>
  <c r="E50" i="11"/>
  <c r="Q123" i="11"/>
  <c r="L123" i="11"/>
  <c r="E20" i="11"/>
  <c r="O125" i="11"/>
  <c r="M125" i="11"/>
  <c r="T125" i="11"/>
  <c r="T120" i="11"/>
  <c r="T16" i="11"/>
  <c r="T37" i="11" s="1"/>
  <c r="T59" i="11" s="1"/>
  <c r="N120" i="11"/>
  <c r="N16" i="11"/>
  <c r="N37" i="11" s="1"/>
  <c r="N59" i="11" s="1"/>
  <c r="AD16" i="11"/>
  <c r="T66" i="11" s="1"/>
  <c r="AD38" i="11"/>
  <c r="T88" i="11" s="1"/>
  <c r="AA16" i="11"/>
  <c r="Q66" i="11" s="1"/>
  <c r="Z38" i="11"/>
  <c r="P88" i="11" s="1"/>
  <c r="AB38" i="11"/>
  <c r="R88" i="11" s="1"/>
  <c r="Y16" i="11"/>
  <c r="O66" i="11" s="1"/>
  <c r="X38" i="11"/>
  <c r="N88" i="11" s="1"/>
  <c r="W38" i="11"/>
  <c r="M88" i="11" s="1"/>
  <c r="AC7" i="5"/>
  <c r="AC32" i="5" s="1"/>
  <c r="AC7" i="4"/>
  <c r="S134" i="11"/>
  <c r="Q134" i="11"/>
  <c r="U7" i="5"/>
  <c r="U32" i="5" s="1"/>
  <c r="U7" i="4"/>
  <c r="R130" i="11"/>
  <c r="O126" i="11"/>
  <c r="T126" i="11"/>
  <c r="R126" i="11"/>
  <c r="M7" i="5"/>
  <c r="M32" i="5" s="1"/>
  <c r="M7" i="4"/>
  <c r="P122" i="11"/>
  <c r="R122" i="11"/>
  <c r="E41" i="11"/>
  <c r="U133" i="11"/>
  <c r="U129" i="11"/>
  <c r="N67" i="11"/>
  <c r="N143" i="11" s="1"/>
  <c r="O67" i="11"/>
  <c r="O143" i="11" s="1"/>
  <c r="O142" i="11" s="1"/>
  <c r="T144" i="11"/>
  <c r="T142" i="11" s="1"/>
  <c r="T151" i="11"/>
  <c r="T64" i="11"/>
  <c r="P67" i="11"/>
  <c r="P143" i="11" s="1"/>
  <c r="L150" i="11"/>
  <c r="E161" i="11"/>
  <c r="E160" i="11"/>
  <c r="E162" i="11"/>
  <c r="E157" i="11"/>
  <c r="E153" i="11"/>
  <c r="E151" i="11"/>
  <c r="E149" i="11"/>
  <c r="E147" i="11"/>
  <c r="E142" i="11"/>
  <c r="E141" i="11"/>
  <c r="E152" i="11"/>
  <c r="E154" i="11"/>
  <c r="E146" i="11"/>
  <c r="E156" i="11"/>
  <c r="E148" i="11"/>
  <c r="E140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158" i="11"/>
  <c r="E145" i="11"/>
  <c r="E109" i="11"/>
  <c r="E110" i="11" s="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70" i="11"/>
  <c r="E69" i="11"/>
  <c r="E63" i="11"/>
  <c r="F62" i="11"/>
  <c r="E62" i="11"/>
  <c r="E61" i="11"/>
  <c r="E67" i="11"/>
  <c r="E66" i="11"/>
  <c r="E65" i="11"/>
  <c r="E64" i="11"/>
  <c r="F63" i="11"/>
  <c r="M64" i="11"/>
  <c r="N144" i="11"/>
  <c r="M89" i="11"/>
  <c r="M143" i="11" s="1"/>
  <c r="N150" i="11"/>
  <c r="E150" i="11" s="1"/>
  <c r="P155" i="11"/>
  <c r="E155" i="11" s="1"/>
  <c r="P159" i="11"/>
  <c r="E159" i="11" s="1"/>
  <c r="Q136" i="11"/>
  <c r="W7" i="5"/>
  <c r="W32" i="5" s="1"/>
  <c r="W7" i="4"/>
  <c r="R132" i="11"/>
  <c r="U128" i="11"/>
  <c r="T128" i="11"/>
  <c r="O7" i="5"/>
  <c r="O32" i="5" s="1"/>
  <c r="O7" i="4"/>
  <c r="M124" i="11"/>
  <c r="N124" i="11"/>
  <c r="E43" i="11"/>
  <c r="U121" i="11"/>
  <c r="P121" i="11"/>
  <c r="K7" i="5"/>
  <c r="K32" i="5" s="1"/>
  <c r="K7" i="4"/>
  <c r="N7" i="5"/>
  <c r="N32" i="5" s="1"/>
  <c r="N7" i="4"/>
  <c r="R7" i="5"/>
  <c r="R32" i="5" s="1"/>
  <c r="R7" i="4"/>
  <c r="G12" i="7" l="1"/>
  <c r="C12" i="7"/>
  <c r="N172" i="11"/>
  <c r="N170" i="11"/>
  <c r="N173" i="11"/>
  <c r="N171" i="11"/>
  <c r="R172" i="11"/>
  <c r="R170" i="11"/>
  <c r="R171" i="11"/>
  <c r="R173" i="11" s="1"/>
  <c r="M142" i="11"/>
  <c r="T173" i="11"/>
  <c r="T171" i="11"/>
  <c r="T170" i="11"/>
  <c r="T172" i="11"/>
  <c r="P173" i="11"/>
  <c r="P171" i="11"/>
  <c r="P172" i="11"/>
  <c r="P170" i="11"/>
  <c r="Q173" i="11"/>
  <c r="Q170" i="11"/>
  <c r="Q172" i="11"/>
  <c r="Q171" i="11"/>
  <c r="O32" i="4"/>
  <c r="O29" i="4"/>
  <c r="O44" i="4"/>
  <c r="T119" i="11"/>
  <c r="L43" i="4"/>
  <c r="L42" i="4"/>
  <c r="M44" i="5"/>
  <c r="R43" i="4"/>
  <c r="R42" i="4"/>
  <c r="W44" i="5"/>
  <c r="G11" i="10"/>
  <c r="V43" i="4"/>
  <c r="V42" i="4"/>
  <c r="K43" i="4"/>
  <c r="K42" i="4"/>
  <c r="P32" i="4"/>
  <c r="P29" i="4"/>
  <c r="P44" i="4"/>
  <c r="S32" i="4"/>
  <c r="S29" i="4"/>
  <c r="S44" i="4"/>
  <c r="K13" i="7"/>
  <c r="I13" i="7"/>
  <c r="L119" i="11"/>
  <c r="E120" i="11"/>
  <c r="U13" i="2"/>
  <c r="J7" i="5"/>
  <c r="J7" i="4"/>
  <c r="T44" i="5"/>
  <c r="U44" i="5"/>
  <c r="I11" i="10"/>
  <c r="Z44" i="5"/>
  <c r="O42" i="4"/>
  <c r="O43" i="4"/>
  <c r="X59" i="11"/>
  <c r="N109" i="11" s="1"/>
  <c r="N87" i="11"/>
  <c r="E133" i="11"/>
  <c r="M119" i="11"/>
  <c r="R119" i="11"/>
  <c r="X43" i="4"/>
  <c r="X42" i="4"/>
  <c r="AA37" i="11"/>
  <c r="V37" i="11"/>
  <c r="R32" i="4"/>
  <c r="R29" i="4"/>
  <c r="R44" i="4"/>
  <c r="K32" i="4"/>
  <c r="K29" i="4"/>
  <c r="K44" i="4"/>
  <c r="W32" i="4"/>
  <c r="W29" i="4"/>
  <c r="W44" i="4"/>
  <c r="E89" i="11"/>
  <c r="M32" i="4"/>
  <c r="M29" i="4"/>
  <c r="M44" i="4"/>
  <c r="E123" i="11"/>
  <c r="AC43" i="4"/>
  <c r="AC42" i="4"/>
  <c r="R44" i="5"/>
  <c r="O171" i="11"/>
  <c r="O170" i="11"/>
  <c r="O172" i="11"/>
  <c r="O173" i="11"/>
  <c r="V32" i="4"/>
  <c r="V29" i="4"/>
  <c r="V44" i="4"/>
  <c r="X32" i="4"/>
  <c r="X29" i="4"/>
  <c r="X44" i="4"/>
  <c r="E132" i="11"/>
  <c r="L142" i="11"/>
  <c r="U172" i="11"/>
  <c r="U171" i="11"/>
  <c r="U170" i="11"/>
  <c r="U173" i="11"/>
  <c r="E135" i="11"/>
  <c r="Q43" i="4"/>
  <c r="Q42" i="4"/>
  <c r="V44" i="5"/>
  <c r="K44" i="5"/>
  <c r="K45" i="5" s="1"/>
  <c r="AA32" i="4"/>
  <c r="AA29" i="4"/>
  <c r="AA44" i="4"/>
  <c r="S2" i="14"/>
  <c r="K11" i="6"/>
  <c r="I11" i="6"/>
  <c r="O44" i="5"/>
  <c r="F10" i="9"/>
  <c r="E129" i="11"/>
  <c r="O119" i="11"/>
  <c r="X44" i="5"/>
  <c r="Y37" i="11"/>
  <c r="N43" i="4"/>
  <c r="N42" i="4"/>
  <c r="S43" i="4"/>
  <c r="S42" i="4"/>
  <c r="AB37" i="11"/>
  <c r="P142" i="11"/>
  <c r="N119" i="11"/>
  <c r="AB43" i="4"/>
  <c r="AB42" i="4"/>
  <c r="K11" i="8"/>
  <c r="I11" i="8"/>
  <c r="AE59" i="11"/>
  <c r="U109" i="11" s="1"/>
  <c r="U87" i="11"/>
  <c r="E124" i="11"/>
  <c r="E122" i="11"/>
  <c r="E130" i="11"/>
  <c r="U119" i="11"/>
  <c r="P119" i="11"/>
  <c r="P43" i="4"/>
  <c r="P42" i="4"/>
  <c r="B11" i="6"/>
  <c r="K12" i="9"/>
  <c r="I12" i="9"/>
  <c r="AA43" i="4"/>
  <c r="AA42" i="4"/>
  <c r="L59" i="11"/>
  <c r="E126" i="11"/>
  <c r="Y32" i="4"/>
  <c r="Y29" i="4"/>
  <c r="Y44" i="4"/>
  <c r="E125" i="11"/>
  <c r="E136" i="11"/>
  <c r="S143" i="11"/>
  <c r="S142" i="11" s="1"/>
  <c r="AC37" i="11"/>
  <c r="S66" i="11"/>
  <c r="Y43" i="4"/>
  <c r="Y42" i="4"/>
  <c r="N44" i="5"/>
  <c r="S44" i="5"/>
  <c r="V9" i="14"/>
  <c r="X8" i="14"/>
  <c r="W8" i="14"/>
  <c r="N32" i="4"/>
  <c r="N29" i="4"/>
  <c r="N44" i="4"/>
  <c r="N142" i="11"/>
  <c r="U32" i="4"/>
  <c r="U29" i="4"/>
  <c r="U44" i="4"/>
  <c r="AC32" i="4"/>
  <c r="AC29" i="4"/>
  <c r="AC44" i="4"/>
  <c r="M43" i="4"/>
  <c r="M42" i="4"/>
  <c r="W42" i="4"/>
  <c r="W43" i="4"/>
  <c r="T32" i="4"/>
  <c r="T29" i="4"/>
  <c r="T44" i="4"/>
  <c r="Z32" i="4"/>
  <c r="Z29" i="4"/>
  <c r="Z44" i="4"/>
  <c r="C12" i="6"/>
  <c r="G12" i="6" s="1"/>
  <c r="S59" i="11"/>
  <c r="Z37" i="11"/>
  <c r="AB32" i="4"/>
  <c r="AB29" i="4"/>
  <c r="AB44" i="4"/>
  <c r="E128" i="11"/>
  <c r="Q32" i="4"/>
  <c r="Q29" i="4"/>
  <c r="Q44" i="4"/>
  <c r="Q119" i="11"/>
  <c r="S119" i="11"/>
  <c r="T43" i="4"/>
  <c r="T42" i="4"/>
  <c r="U43" i="4"/>
  <c r="U42" i="4"/>
  <c r="K11" i="10"/>
  <c r="Z43" i="4"/>
  <c r="Z42" i="4"/>
  <c r="W37" i="11"/>
  <c r="F10" i="8"/>
  <c r="AD37" i="11"/>
  <c r="L32" i="4"/>
  <c r="L29" i="4"/>
  <c r="L44" i="4"/>
  <c r="E134" i="11"/>
  <c r="M59" i="11"/>
  <c r="B11" i="7"/>
  <c r="Y44" i="5"/>
  <c r="F10" i="10"/>
  <c r="C13" i="6" l="1"/>
  <c r="V10" i="14"/>
  <c r="X9" i="14"/>
  <c r="W9" i="14"/>
  <c r="AB59" i="11"/>
  <c r="R109" i="11" s="1"/>
  <c r="R87" i="11"/>
  <c r="J32" i="4"/>
  <c r="J29" i="4"/>
  <c r="J44" i="4"/>
  <c r="M172" i="11"/>
  <c r="M171" i="11"/>
  <c r="M173" i="11"/>
  <c r="M170" i="11"/>
  <c r="W59" i="11"/>
  <c r="M109" i="11" s="1"/>
  <c r="M87" i="11"/>
  <c r="U177" i="11"/>
  <c r="U176" i="11"/>
  <c r="U175" i="11"/>
  <c r="U178" i="11"/>
  <c r="Y59" i="11"/>
  <c r="O109" i="11" s="1"/>
  <c r="O87" i="11"/>
  <c r="K12" i="6"/>
  <c r="I12" i="6"/>
  <c r="V59" i="11"/>
  <c r="L109" i="11" s="1"/>
  <c r="L87" i="11"/>
  <c r="N177" i="11"/>
  <c r="N175" i="11"/>
  <c r="N178" i="11" s="1"/>
  <c r="N176" i="11"/>
  <c r="J32" i="5"/>
  <c r="J44" i="5"/>
  <c r="K45" i="4"/>
  <c r="E143" i="11"/>
  <c r="B12" i="6"/>
  <c r="AD59" i="11"/>
  <c r="T109" i="11" s="1"/>
  <c r="T87" i="11"/>
  <c r="Z59" i="11"/>
  <c r="P109" i="11" s="1"/>
  <c r="P87" i="11"/>
  <c r="AC59" i="11"/>
  <c r="S109" i="11" s="1"/>
  <c r="S87" i="11"/>
  <c r="F37" i="11"/>
  <c r="G10" i="9"/>
  <c r="AA59" i="11"/>
  <c r="Q109" i="11" s="1"/>
  <c r="Q87" i="11"/>
  <c r="K14" i="7"/>
  <c r="I14" i="7"/>
  <c r="C12" i="10"/>
  <c r="F12" i="10"/>
  <c r="G10" i="8"/>
  <c r="S172" i="11"/>
  <c r="S171" i="11"/>
  <c r="S170" i="11"/>
  <c r="S173" i="11" s="1"/>
  <c r="L173" i="11"/>
  <c r="L171" i="11"/>
  <c r="L170" i="11"/>
  <c r="L172" i="11"/>
  <c r="F59" i="11"/>
  <c r="F60" i="11"/>
  <c r="G60" i="11" s="1"/>
  <c r="K13" i="9"/>
  <c r="I13" i="9"/>
  <c r="I12" i="8"/>
  <c r="K12" i="8"/>
  <c r="B12" i="7"/>
  <c r="C13" i="7"/>
  <c r="C11" i="8" l="1"/>
  <c r="K15" i="7"/>
  <c r="I15" i="7"/>
  <c r="K14" i="9"/>
  <c r="I14" i="9"/>
  <c r="B12" i="10"/>
  <c r="D12" i="10"/>
  <c r="P176" i="11"/>
  <c r="P177" i="11"/>
  <c r="P178" i="11" s="1"/>
  <c r="P175" i="11"/>
  <c r="I13" i="6"/>
  <c r="K13" i="6"/>
  <c r="M177" i="11"/>
  <c r="M176" i="11"/>
  <c r="M175" i="11"/>
  <c r="M178" i="11" s="1"/>
  <c r="W10" i="14"/>
  <c r="X10" i="14" s="1"/>
  <c r="V11" i="14"/>
  <c r="I13" i="8"/>
  <c r="K13" i="8"/>
  <c r="Q175" i="11"/>
  <c r="Q177" i="11"/>
  <c r="Q176" i="11"/>
  <c r="Q178" i="11" s="1"/>
  <c r="R177" i="11"/>
  <c r="R175" i="11"/>
  <c r="R176" i="11"/>
  <c r="R178" i="11"/>
  <c r="E12" i="10"/>
  <c r="B13" i="7"/>
  <c r="D13" i="7" s="1"/>
  <c r="C11" i="9"/>
  <c r="S177" i="11"/>
  <c r="S176" i="11"/>
  <c r="S178" i="11" s="1"/>
  <c r="S175" i="11"/>
  <c r="T176" i="11"/>
  <c r="T175" i="11"/>
  <c r="T178" i="11" s="1"/>
  <c r="T177" i="11"/>
  <c r="S3" i="14"/>
  <c r="G46" i="4"/>
  <c r="L176" i="11"/>
  <c r="L175" i="11"/>
  <c r="L178" i="11" s="1"/>
  <c r="L177" i="11"/>
  <c r="O178" i="11"/>
  <c r="O176" i="11"/>
  <c r="O175" i="11"/>
  <c r="O177" i="11"/>
  <c r="B13" i="6"/>
  <c r="D13" i="6" s="1"/>
  <c r="F13" i="6" l="1"/>
  <c r="I14" i="6"/>
  <c r="K14" i="6"/>
  <c r="K16" i="7"/>
  <c r="I16" i="7"/>
  <c r="F13" i="7"/>
  <c r="K12" i="10"/>
  <c r="G12" i="10"/>
  <c r="I12" i="10"/>
  <c r="W11" i="14"/>
  <c r="X11" i="14" s="1"/>
  <c r="V12" i="14"/>
  <c r="K15" i="9"/>
  <c r="I15" i="9"/>
  <c r="B11" i="8"/>
  <c r="D11" i="8"/>
  <c r="D11" i="9"/>
  <c r="B11" i="9"/>
  <c r="K14" i="8"/>
  <c r="I14" i="8"/>
  <c r="G13" i="6" l="1"/>
  <c r="K17" i="7"/>
  <c r="I17" i="7"/>
  <c r="F11" i="9"/>
  <c r="K15" i="8"/>
  <c r="I15" i="8"/>
  <c r="K16" i="9"/>
  <c r="I16" i="9"/>
  <c r="K15" i="6"/>
  <c r="I15" i="6"/>
  <c r="F11" i="8"/>
  <c r="W12" i="14"/>
  <c r="X12" i="14" s="1"/>
  <c r="V13" i="14"/>
  <c r="F13" i="10"/>
  <c r="C13" i="10"/>
  <c r="G13" i="7"/>
  <c r="C14" i="6" l="1"/>
  <c r="G11" i="8"/>
  <c r="K17" i="9"/>
  <c r="I17" i="9"/>
  <c r="G11" i="9"/>
  <c r="C14" i="7"/>
  <c r="B13" i="10"/>
  <c r="E13" i="10" s="1"/>
  <c r="D13" i="10"/>
  <c r="X13" i="14"/>
  <c r="W13" i="14"/>
  <c r="V14" i="14"/>
  <c r="K16" i="6"/>
  <c r="I16" i="6"/>
  <c r="I16" i="8"/>
  <c r="K16" i="8"/>
  <c r="K18" i="7"/>
  <c r="I18" i="7"/>
  <c r="K13" i="10" l="1"/>
  <c r="G13" i="10"/>
  <c r="I13" i="10"/>
  <c r="B14" i="6"/>
  <c r="D14" i="6" s="1"/>
  <c r="W14" i="14"/>
  <c r="X14" i="14" s="1"/>
  <c r="V15" i="14"/>
  <c r="B14" i="7"/>
  <c r="D14" i="7" s="1"/>
  <c r="K19" i="7"/>
  <c r="I19" i="7"/>
  <c r="I17" i="6"/>
  <c r="K17" i="6"/>
  <c r="K18" i="9"/>
  <c r="I18" i="9"/>
  <c r="I17" i="8"/>
  <c r="K17" i="8"/>
  <c r="C12" i="9"/>
  <c r="C12" i="8"/>
  <c r="D12" i="8" l="1"/>
  <c r="B12" i="8"/>
  <c r="K18" i="8"/>
  <c r="I18" i="8"/>
  <c r="K20" i="7"/>
  <c r="I20" i="7"/>
  <c r="D12" i="9"/>
  <c r="B12" i="9"/>
  <c r="I18" i="6"/>
  <c r="K18" i="6"/>
  <c r="C14" i="10"/>
  <c r="F14" i="10"/>
  <c r="F14" i="7"/>
  <c r="K19" i="9"/>
  <c r="I19" i="9"/>
  <c r="W15" i="14"/>
  <c r="X15" i="14" s="1"/>
  <c r="V16" i="14"/>
  <c r="F14" i="6"/>
  <c r="D14" i="10" l="1"/>
  <c r="B14" i="10"/>
  <c r="K21" i="7"/>
  <c r="I21" i="7"/>
  <c r="G14" i="6"/>
  <c r="X16" i="14"/>
  <c r="W16" i="14"/>
  <c r="V17" i="14"/>
  <c r="K20" i="9"/>
  <c r="I20" i="9"/>
  <c r="G14" i="7"/>
  <c r="K19" i="6"/>
  <c r="I19" i="6"/>
  <c r="F12" i="9"/>
  <c r="K19" i="8"/>
  <c r="I19" i="8"/>
  <c r="F12" i="8"/>
  <c r="E14" i="10"/>
  <c r="K22" i="7" l="1"/>
  <c r="I22" i="7"/>
  <c r="K14" i="10"/>
  <c r="G14" i="10"/>
  <c r="I14" i="10"/>
  <c r="I20" i="8"/>
  <c r="K20" i="8"/>
  <c r="K20" i="6"/>
  <c r="I20" i="6"/>
  <c r="K21" i="9"/>
  <c r="I21" i="9"/>
  <c r="C15" i="6"/>
  <c r="C15" i="7"/>
  <c r="X17" i="14"/>
  <c r="W17" i="14"/>
  <c r="V18" i="14"/>
  <c r="G12" i="8"/>
  <c r="G12" i="9"/>
  <c r="C13" i="8" l="1"/>
  <c r="I21" i="6"/>
  <c r="K21" i="6"/>
  <c r="C15" i="10"/>
  <c r="F15" i="10"/>
  <c r="B15" i="7"/>
  <c r="D15" i="7" s="1"/>
  <c r="I21" i="8"/>
  <c r="K21" i="8"/>
  <c r="C13" i="9"/>
  <c r="X18" i="14"/>
  <c r="W18" i="14"/>
  <c r="V19" i="14"/>
  <c r="K22" i="9"/>
  <c r="I22" i="9"/>
  <c r="B15" i="6"/>
  <c r="D15" i="6" s="1"/>
  <c r="K23" i="7"/>
  <c r="I23" i="7"/>
  <c r="F15" i="7" l="1"/>
  <c r="I22" i="6"/>
  <c r="K22" i="6"/>
  <c r="K23" i="9"/>
  <c r="I23" i="9"/>
  <c r="K22" i="8"/>
  <c r="I22" i="8"/>
  <c r="W19" i="14"/>
  <c r="X19" i="14" s="1"/>
  <c r="V20" i="14"/>
  <c r="D13" i="9"/>
  <c r="B13" i="9"/>
  <c r="D15" i="10"/>
  <c r="B15" i="10"/>
  <c r="E15" i="10" s="1"/>
  <c r="D13" i="8"/>
  <c r="B13" i="8"/>
  <c r="K24" i="7"/>
  <c r="I24" i="7"/>
  <c r="F15" i="6"/>
  <c r="G15" i="10" l="1"/>
  <c r="K15" i="10"/>
  <c r="I15" i="10"/>
  <c r="G15" i="6"/>
  <c r="W20" i="14"/>
  <c r="X20" i="14" s="1"/>
  <c r="V21" i="14"/>
  <c r="K23" i="8"/>
  <c r="I23" i="8"/>
  <c r="K23" i="6"/>
  <c r="I23" i="6"/>
  <c r="F13" i="8"/>
  <c r="K25" i="7"/>
  <c r="I25" i="7"/>
  <c r="K24" i="9"/>
  <c r="I24" i="9"/>
  <c r="F13" i="9"/>
  <c r="G15" i="7"/>
  <c r="W21" i="14" l="1"/>
  <c r="X21" i="14" s="1"/>
  <c r="G13" i="9"/>
  <c r="K26" i="7"/>
  <c r="I26" i="7"/>
  <c r="K24" i="6"/>
  <c r="I24" i="6"/>
  <c r="C16" i="7"/>
  <c r="B16" i="7" s="1"/>
  <c r="D16" i="7" s="1"/>
  <c r="F16" i="7" s="1"/>
  <c r="K25" i="9"/>
  <c r="I25" i="9"/>
  <c r="G13" i="8"/>
  <c r="I24" i="8"/>
  <c r="K24" i="8"/>
  <c r="C16" i="6"/>
  <c r="C16" i="10"/>
  <c r="F16" i="10"/>
  <c r="B16" i="6" l="1"/>
  <c r="D16" i="6" s="1"/>
  <c r="F16" i="6" s="1"/>
  <c r="C14" i="8"/>
  <c r="C14" i="9"/>
  <c r="G16" i="6"/>
  <c r="I25" i="6"/>
  <c r="K25" i="6"/>
  <c r="B16" i="10"/>
  <c r="E16" i="10" s="1"/>
  <c r="D16" i="10"/>
  <c r="I25" i="8"/>
  <c r="K25" i="8"/>
  <c r="K26" i="9"/>
  <c r="I26" i="9"/>
  <c r="G16" i="7"/>
  <c r="K27" i="7"/>
  <c r="I27" i="7"/>
  <c r="G16" i="10" l="1"/>
  <c r="K16" i="10"/>
  <c r="I16" i="10"/>
  <c r="C17" i="6"/>
  <c r="B17" i="6" s="1"/>
  <c r="D17" i="6" s="1"/>
  <c r="F17" i="6" s="1"/>
  <c r="B14" i="8"/>
  <c r="D14" i="8"/>
  <c r="K27" i="9"/>
  <c r="I27" i="9"/>
  <c r="K28" i="7"/>
  <c r="I28" i="7"/>
  <c r="K26" i="8"/>
  <c r="I26" i="8"/>
  <c r="I26" i="6"/>
  <c r="K26" i="6"/>
  <c r="C17" i="7"/>
  <c r="B17" i="7" s="1"/>
  <c r="D17" i="7" s="1"/>
  <c r="F17" i="7" s="1"/>
  <c r="D14" i="9"/>
  <c r="B14" i="9"/>
  <c r="F14" i="8" l="1"/>
  <c r="G17" i="7"/>
  <c r="K27" i="8"/>
  <c r="I27" i="8"/>
  <c r="K27" i="6"/>
  <c r="I27" i="6"/>
  <c r="K28" i="9"/>
  <c r="I28" i="9"/>
  <c r="F14" i="9"/>
  <c r="K29" i="7"/>
  <c r="I29" i="7"/>
  <c r="G17" i="6"/>
  <c r="F17" i="10"/>
  <c r="C17" i="10"/>
  <c r="C18" i="6" l="1"/>
  <c r="B18" i="6" s="1"/>
  <c r="D18" i="6" s="1"/>
  <c r="F18" i="6" s="1"/>
  <c r="G14" i="9"/>
  <c r="K29" i="9"/>
  <c r="I29" i="9"/>
  <c r="I28" i="8"/>
  <c r="K28" i="8"/>
  <c r="B17" i="10"/>
  <c r="D17" i="10"/>
  <c r="C18" i="7"/>
  <c r="B18" i="7" s="1"/>
  <c r="D18" i="7" s="1"/>
  <c r="F18" i="7" s="1"/>
  <c r="K28" i="6"/>
  <c r="I28" i="6"/>
  <c r="E17" i="10"/>
  <c r="G14" i="8"/>
  <c r="I29" i="8" l="1"/>
  <c r="K29" i="8"/>
  <c r="C15" i="9"/>
  <c r="K17" i="10"/>
  <c r="G17" i="10"/>
  <c r="I17" i="10"/>
  <c r="G18" i="7"/>
  <c r="C15" i="8"/>
  <c r="I29" i="6"/>
  <c r="K29" i="6"/>
  <c r="G18" i="6"/>
  <c r="C19" i="7" l="1"/>
  <c r="B19" i="7" s="1"/>
  <c r="D19" i="7" s="1"/>
  <c r="F19" i="7" s="1"/>
  <c r="D15" i="9"/>
  <c r="F15" i="9" s="1"/>
  <c r="G15" i="9" s="1"/>
  <c r="B15" i="9"/>
  <c r="F18" i="10"/>
  <c r="C18" i="10"/>
  <c r="C19" i="6"/>
  <c r="B19" i="6" s="1"/>
  <c r="D19" i="6" s="1"/>
  <c r="F19" i="6" s="1"/>
  <c r="B15" i="8"/>
  <c r="D15" i="8"/>
  <c r="F15" i="8" s="1"/>
  <c r="G15" i="8" s="1"/>
  <c r="C16" i="9" l="1"/>
  <c r="C16" i="8"/>
  <c r="G19" i="7"/>
  <c r="D18" i="10"/>
  <c r="B18" i="10"/>
  <c r="E18" i="10" s="1"/>
  <c r="G19" i="6"/>
  <c r="I18" i="10" l="1"/>
  <c r="K18" i="10"/>
  <c r="G18" i="10"/>
  <c r="D16" i="8"/>
  <c r="F16" i="8" s="1"/>
  <c r="G16" i="8" s="1"/>
  <c r="B16" i="8"/>
  <c r="C20" i="7"/>
  <c r="B20" i="7" s="1"/>
  <c r="D20" i="7" s="1"/>
  <c r="F20" i="7" s="1"/>
  <c r="C20" i="6"/>
  <c r="B20" i="6" s="1"/>
  <c r="D20" i="6" s="1"/>
  <c r="F20" i="6" s="1"/>
  <c r="D16" i="9"/>
  <c r="F16" i="9" s="1"/>
  <c r="G16" i="9" s="1"/>
  <c r="B16" i="9"/>
  <c r="C17" i="8" l="1"/>
  <c r="C19" i="10"/>
  <c r="F19" i="10"/>
  <c r="G20" i="7"/>
  <c r="C17" i="9"/>
  <c r="G20" i="6"/>
  <c r="B19" i="10" l="1"/>
  <c r="D19" i="10"/>
  <c r="D17" i="9"/>
  <c r="F17" i="9" s="1"/>
  <c r="B17" i="9"/>
  <c r="C21" i="6"/>
  <c r="B21" i="6" s="1"/>
  <c r="D21" i="6" s="1"/>
  <c r="F21" i="6" s="1"/>
  <c r="G17" i="9"/>
  <c r="C21" i="7"/>
  <c r="B21" i="7" s="1"/>
  <c r="D21" i="7" s="1"/>
  <c r="F21" i="7" s="1"/>
  <c r="G21" i="7" s="1"/>
  <c r="D17" i="8"/>
  <c r="F17" i="8" s="1"/>
  <c r="G17" i="8" s="1"/>
  <c r="B17" i="8"/>
  <c r="E19" i="10"/>
  <c r="C18" i="8" l="1"/>
  <c r="C22" i="7"/>
  <c r="B22" i="7" s="1"/>
  <c r="D22" i="7" s="1"/>
  <c r="F22" i="7" s="1"/>
  <c r="G19" i="10"/>
  <c r="I19" i="10"/>
  <c r="K19" i="10"/>
  <c r="C18" i="9"/>
  <c r="G21" i="6"/>
  <c r="D18" i="9" l="1"/>
  <c r="F18" i="9" s="1"/>
  <c r="B18" i="9"/>
  <c r="G22" i="7"/>
  <c r="B18" i="8"/>
  <c r="D18" i="8"/>
  <c r="F18" i="8" s="1"/>
  <c r="C22" i="6"/>
  <c r="B22" i="6" s="1"/>
  <c r="D22" i="6" s="1"/>
  <c r="F22" i="6" s="1"/>
  <c r="G22" i="6" s="1"/>
  <c r="G18" i="9"/>
  <c r="C20" i="10"/>
  <c r="F20" i="10"/>
  <c r="G18" i="8"/>
  <c r="C23" i="6" l="1"/>
  <c r="B23" i="6" s="1"/>
  <c r="D23" i="6" s="1"/>
  <c r="F23" i="6" s="1"/>
  <c r="C23" i="7"/>
  <c r="B23" i="7" s="1"/>
  <c r="D23" i="7" s="1"/>
  <c r="F23" i="7" s="1"/>
  <c r="G23" i="7" s="1"/>
  <c r="B20" i="10"/>
  <c r="E20" i="10" s="1"/>
  <c r="D20" i="10"/>
  <c r="C19" i="8"/>
  <c r="C19" i="9"/>
  <c r="K20" i="10" l="1"/>
  <c r="I20" i="10"/>
  <c r="G20" i="10"/>
  <c r="C24" i="7"/>
  <c r="B24" i="7" s="1"/>
  <c r="D24" i="7" s="1"/>
  <c r="F24" i="7" s="1"/>
  <c r="G24" i="7" s="1"/>
  <c r="B19" i="8"/>
  <c r="D19" i="8"/>
  <c r="F19" i="8" s="1"/>
  <c r="G19" i="8" s="1"/>
  <c r="D19" i="9"/>
  <c r="F19" i="9" s="1"/>
  <c r="G19" i="9" s="1"/>
  <c r="B19" i="9"/>
  <c r="G23" i="6"/>
  <c r="C20" i="9" l="1"/>
  <c r="C25" i="7"/>
  <c r="B25" i="7" s="1"/>
  <c r="D25" i="7" s="1"/>
  <c r="F25" i="7" s="1"/>
  <c r="C20" i="8"/>
  <c r="F21" i="10"/>
  <c r="C21" i="10"/>
  <c r="C24" i="6"/>
  <c r="B24" i="6" s="1"/>
  <c r="D24" i="6" s="1"/>
  <c r="F24" i="6" s="1"/>
  <c r="G25" i="7" l="1"/>
  <c r="E21" i="10"/>
  <c r="G24" i="6"/>
  <c r="D21" i="10"/>
  <c r="B21" i="10"/>
  <c r="D20" i="8"/>
  <c r="F20" i="8" s="1"/>
  <c r="G20" i="8" s="1"/>
  <c r="B20" i="8"/>
  <c r="D20" i="9"/>
  <c r="F20" i="9" s="1"/>
  <c r="G20" i="9" s="1"/>
  <c r="B20" i="9"/>
  <c r="C21" i="9" l="1"/>
  <c r="C25" i="6"/>
  <c r="B25" i="6" s="1"/>
  <c r="D25" i="6" s="1"/>
  <c r="F25" i="6" s="1"/>
  <c r="G21" i="10"/>
  <c r="I21" i="10"/>
  <c r="K21" i="10"/>
  <c r="C21" i="8"/>
  <c r="C26" i="7"/>
  <c r="B26" i="7" s="1"/>
  <c r="D26" i="7" s="1"/>
  <c r="F26" i="7" s="1"/>
  <c r="G25" i="6" l="1"/>
  <c r="G26" i="7"/>
  <c r="D21" i="8"/>
  <c r="F21" i="8" s="1"/>
  <c r="G21" i="8" s="1"/>
  <c r="B21" i="8"/>
  <c r="F22" i="10"/>
  <c r="C22" i="10"/>
  <c r="D21" i="9"/>
  <c r="F21" i="9" s="1"/>
  <c r="G21" i="9" s="1"/>
  <c r="B21" i="9"/>
  <c r="C27" i="7" l="1"/>
  <c r="B27" i="7" s="1"/>
  <c r="D27" i="7" s="1"/>
  <c r="F27" i="7" s="1"/>
  <c r="D22" i="10"/>
  <c r="B22" i="10"/>
  <c r="E22" i="10" s="1"/>
  <c r="C26" i="6"/>
  <c r="B26" i="6" s="1"/>
  <c r="D26" i="6" s="1"/>
  <c r="F26" i="6" s="1"/>
  <c r="C22" i="9"/>
  <c r="C22" i="8"/>
  <c r="I22" i="10" l="1"/>
  <c r="G22" i="10"/>
  <c r="K22" i="10"/>
  <c r="B22" i="8"/>
  <c r="D22" i="8"/>
  <c r="F22" i="8" s="1"/>
  <c r="G22" i="8" s="1"/>
  <c r="D22" i="9"/>
  <c r="F22" i="9" s="1"/>
  <c r="G22" i="9" s="1"/>
  <c r="B22" i="9"/>
  <c r="G26" i="6"/>
  <c r="G27" i="7"/>
  <c r="C23" i="9" l="1"/>
  <c r="C23" i="8"/>
  <c r="C28" i="7"/>
  <c r="B28" i="7" s="1"/>
  <c r="D28" i="7" s="1"/>
  <c r="F28" i="7" s="1"/>
  <c r="C23" i="10"/>
  <c r="F23" i="10"/>
  <c r="C27" i="6"/>
  <c r="B27" i="6" s="1"/>
  <c r="D27" i="6" s="1"/>
  <c r="F27" i="6" s="1"/>
  <c r="G27" i="6" s="1"/>
  <c r="C28" i="6" l="1"/>
  <c r="B28" i="6" s="1"/>
  <c r="D28" i="6" s="1"/>
  <c r="F28" i="6" s="1"/>
  <c r="B23" i="8"/>
  <c r="D23" i="8"/>
  <c r="F23" i="8" s="1"/>
  <c r="E23" i="10"/>
  <c r="G28" i="7"/>
  <c r="G23" i="8"/>
  <c r="B23" i="10"/>
  <c r="D23" i="10"/>
  <c r="D23" i="9"/>
  <c r="F23" i="9" s="1"/>
  <c r="G23" i="9" s="1"/>
  <c r="B23" i="9"/>
  <c r="C24" i="9" l="1"/>
  <c r="C24" i="8"/>
  <c r="C29" i="7"/>
  <c r="I23" i="10"/>
  <c r="G23" i="10"/>
  <c r="K23" i="10"/>
  <c r="G28" i="6"/>
  <c r="D24" i="8" l="1"/>
  <c r="F24" i="8" s="1"/>
  <c r="G24" i="8" s="1"/>
  <c r="B24" i="8"/>
  <c r="B29" i="7"/>
  <c r="D29" i="7" s="1"/>
  <c r="C31" i="7"/>
  <c r="C24" i="10"/>
  <c r="F24" i="10"/>
  <c r="C29" i="6"/>
  <c r="D24" i="9"/>
  <c r="F24" i="9" s="1"/>
  <c r="G24" i="9" s="1"/>
  <c r="B24" i="9"/>
  <c r="F29" i="7" l="1"/>
  <c r="D31" i="7"/>
  <c r="C25" i="9"/>
  <c r="B29" i="6"/>
  <c r="D29" i="6" s="1"/>
  <c r="C31" i="6"/>
  <c r="B24" i="10"/>
  <c r="E24" i="10" s="1"/>
  <c r="D24" i="10"/>
  <c r="C25" i="8"/>
  <c r="I24" i="10" l="1"/>
  <c r="G24" i="10"/>
  <c r="K24" i="10"/>
  <c r="D25" i="9"/>
  <c r="F25" i="9" s="1"/>
  <c r="B25" i="9"/>
  <c r="D25" i="8"/>
  <c r="F25" i="8" s="1"/>
  <c r="B25" i="8"/>
  <c r="F29" i="6"/>
  <c r="D31" i="6"/>
  <c r="G25" i="8"/>
  <c r="G25" i="9"/>
  <c r="F31" i="7"/>
  <c r="G29" i="7"/>
  <c r="F31" i="6" l="1"/>
  <c r="G29" i="6"/>
  <c r="C26" i="9"/>
  <c r="F25" i="10"/>
  <c r="C25" i="10"/>
  <c r="C26" i="8"/>
  <c r="B26" i="8" l="1"/>
  <c r="D26" i="8"/>
  <c r="F26" i="8" s="1"/>
  <c r="G26" i="8" s="1"/>
  <c r="D25" i="10"/>
  <c r="B25" i="10"/>
  <c r="E25" i="10" s="1"/>
  <c r="D26" i="9"/>
  <c r="F26" i="9" s="1"/>
  <c r="G26" i="9" s="1"/>
  <c r="B26" i="9"/>
  <c r="G25" i="10" l="1"/>
  <c r="K25" i="10"/>
  <c r="I25" i="10"/>
  <c r="C27" i="8"/>
  <c r="C27" i="9"/>
  <c r="B27" i="8" l="1"/>
  <c r="D27" i="8"/>
  <c r="F27" i="8" s="1"/>
  <c r="G27" i="8" s="1"/>
  <c r="D27" i="9"/>
  <c r="F27" i="9" s="1"/>
  <c r="G27" i="9" s="1"/>
  <c r="B27" i="9"/>
  <c r="F26" i="10"/>
  <c r="C26" i="10"/>
  <c r="C28" i="8" l="1"/>
  <c r="E26" i="10"/>
  <c r="D26" i="10"/>
  <c r="B26" i="10"/>
  <c r="C28" i="9"/>
  <c r="I26" i="10" l="1"/>
  <c r="K26" i="10"/>
  <c r="G26" i="10"/>
  <c r="D28" i="9"/>
  <c r="F28" i="9" s="1"/>
  <c r="G28" i="9" s="1"/>
  <c r="B28" i="9"/>
  <c r="D28" i="8"/>
  <c r="F28" i="8" s="1"/>
  <c r="G28" i="8" s="1"/>
  <c r="B28" i="8"/>
  <c r="C29" i="8" l="1"/>
  <c r="C29" i="9"/>
  <c r="C27" i="10"/>
  <c r="F27" i="10"/>
  <c r="B27" i="10" l="1"/>
  <c r="D27" i="10"/>
  <c r="D29" i="8"/>
  <c r="B29" i="8"/>
  <c r="C31" i="8"/>
  <c r="E27" i="10"/>
  <c r="D29" i="9"/>
  <c r="B29" i="9"/>
  <c r="C31" i="9"/>
  <c r="F29" i="9" l="1"/>
  <c r="D31" i="9"/>
  <c r="F29" i="8"/>
  <c r="D31" i="8"/>
  <c r="G27" i="10"/>
  <c r="I27" i="10"/>
  <c r="K27" i="10"/>
  <c r="F31" i="8" l="1"/>
  <c r="G29" i="8"/>
  <c r="C28" i="10"/>
  <c r="F28" i="10"/>
  <c r="F31" i="9"/>
  <c r="G29" i="9"/>
  <c r="B28" i="10" l="1"/>
  <c r="E28" i="10" s="1"/>
  <c r="D28" i="10"/>
  <c r="G28" i="10" l="1"/>
  <c r="K28" i="10"/>
  <c r="I28" i="10"/>
  <c r="F29" i="10" l="1"/>
  <c r="C29" i="10"/>
  <c r="F31" i="10" l="1"/>
  <c r="D29" i="10"/>
  <c r="D31" i="10" s="1"/>
  <c r="B29" i="10"/>
  <c r="E29" i="10" s="1"/>
  <c r="C31" i="10"/>
  <c r="E31" i="10" l="1"/>
  <c r="K29" i="10"/>
  <c r="G29" i="10"/>
  <c r="I29" i="10"/>
</calcChain>
</file>

<file path=xl/sharedStrings.xml><?xml version="1.0" encoding="utf-8"?>
<sst xmlns="http://schemas.openxmlformats.org/spreadsheetml/2006/main" count="728" uniqueCount="250">
  <si>
    <t>APURAÇÃO DA CAPACIDADE DE PAGAMENTO</t>
  </si>
  <si>
    <t>SOMA-RECEITAS</t>
  </si>
  <si>
    <t>IMPRIMIR</t>
  </si>
  <si>
    <t>TESTE-RECEITAS</t>
  </si>
  <si>
    <t>PROGRAMA NACIONAL DE CRÉDITO FUNDIÁRIO - CAPACIDADE DE PAGAMENTO</t>
  </si>
  <si>
    <t>Versão: 29/12/2017</t>
  </si>
  <si>
    <t>DADOS BÁSICOS</t>
  </si>
  <si>
    <t>Cliente:</t>
  </si>
  <si>
    <r>
      <t xml:space="preserve">Data </t>
    </r>
    <r>
      <rPr>
        <b/>
        <sz val="10"/>
        <color rgb="FF000000"/>
        <rFont val="Arial Narrow"/>
      </rPr>
      <t>(dd/mm/aaaa):</t>
    </r>
  </si>
  <si>
    <t>CPF/CNPJ:</t>
  </si>
  <si>
    <t>UTE:</t>
  </si>
  <si>
    <t>Setor:</t>
  </si>
  <si>
    <t>Rural</t>
  </si>
  <si>
    <t>Programa:</t>
  </si>
  <si>
    <t>Porte:</t>
  </si>
  <si>
    <t>Mini</t>
  </si>
  <si>
    <t>PROPOSTA</t>
  </si>
  <si>
    <t>VALIDAR CALCULO3-NÃO PODE PARCELAS E AMORTIZ.IGUAIS</t>
  </si>
  <si>
    <t>AMORTIZ.-NÃO IGUAIS-NÃO IGUAIS</t>
  </si>
  <si>
    <t>PLANILHA-NÃO IGUAIS</t>
  </si>
  <si>
    <t>PLANILHA</t>
  </si>
  <si>
    <t>VALIDAÇÃO</t>
  </si>
  <si>
    <t>AMORTIZ.-ACESSO</t>
  </si>
  <si>
    <t>Nº REAL - OPERAÇÕES</t>
  </si>
  <si>
    <t>Proposta</t>
  </si>
  <si>
    <t>Valor (R$)</t>
  </si>
  <si>
    <t>Prazo (anos)</t>
  </si>
  <si>
    <t>Carência (anos)</t>
  </si>
  <si>
    <t>Tx.Juros a.a. (%)</t>
  </si>
  <si>
    <t>Tipo de Cálculo/Juros</t>
  </si>
  <si>
    <t>Amortiz. Iguais-REAL</t>
  </si>
  <si>
    <t>PRAZO-REAL</t>
  </si>
  <si>
    <t>PRAZO-MÁXIMO:</t>
  </si>
  <si>
    <t>SCR</t>
  </si>
  <si>
    <t>Não Rural (Exigíveis)</t>
  </si>
  <si>
    <t>Sim</t>
  </si>
  <si>
    <t>Rural (Capitalizáveis)</t>
  </si>
  <si>
    <t>Não</t>
  </si>
  <si>
    <t>,</t>
  </si>
  <si>
    <t>OPERAÇÕES SCR</t>
  </si>
  <si>
    <t>Valor Total (R$)</t>
  </si>
  <si>
    <t>Caracteres-Origem-Info-Rec</t>
  </si>
  <si>
    <t>Soma-Aporte</t>
  </si>
  <si>
    <t>RECEITAS / CUSTOS/DESPESAS</t>
  </si>
  <si>
    <t>Caracteres-Origem</t>
  </si>
  <si>
    <t>Ano</t>
  </si>
  <si>
    <t>Receitas (R$)</t>
  </si>
  <si>
    <t>Custos/Despesas</t>
  </si>
  <si>
    <t>Aporte Adicional (R$)</t>
  </si>
  <si>
    <t>%</t>
  </si>
  <si>
    <t>R$</t>
  </si>
  <si>
    <t>Total (R$)</t>
  </si>
  <si>
    <t>Origem da Informação das Receitas</t>
  </si>
  <si>
    <t>PROGRAMA NACIONAL DE CRÉDITO FUNDIÁRIO - PROPOSTA</t>
  </si>
  <si>
    <t>Outras Informações</t>
  </si>
  <si>
    <t>Data:</t>
  </si>
  <si>
    <t>APORTE ADICIONAL</t>
  </si>
  <si>
    <t>Origem dos Recursos</t>
  </si>
  <si>
    <t>Nº</t>
  </si>
  <si>
    <t>klsjdfbhdsf</t>
  </si>
  <si>
    <t>Cidade:</t>
  </si>
  <si>
    <t>Assinatura do responsável técnico</t>
  </si>
  <si>
    <t>Nome:</t>
  </si>
  <si>
    <t>Função:</t>
  </si>
  <si>
    <t>Valor Total (R$):</t>
  </si>
  <si>
    <t xml:space="preserve">Origem da Informação das Receitas: </t>
  </si>
  <si>
    <t>Outras Informações:</t>
  </si>
  <si>
    <t>EXIBIR</t>
  </si>
  <si>
    <t>Amortizações (Principal)  não Iguais</t>
  </si>
  <si>
    <t>AMORTIZAÇÕES (PRINCIPAL) NÃO IGUAIS</t>
  </si>
  <si>
    <t>Op.SCR</t>
  </si>
  <si>
    <t>Op.1</t>
  </si>
  <si>
    <t>Op.2</t>
  </si>
  <si>
    <t>Op.3</t>
  </si>
  <si>
    <t>Op.4</t>
  </si>
  <si>
    <t>Op.5</t>
  </si>
  <si>
    <t>Op.6</t>
  </si>
  <si>
    <t>Op.7</t>
  </si>
  <si>
    <t>Op.8</t>
  </si>
  <si>
    <t>Op.9</t>
  </si>
  <si>
    <t>Op.10</t>
  </si>
  <si>
    <t>Op.11</t>
  </si>
  <si>
    <t>Op.12</t>
  </si>
  <si>
    <t>Op.13</t>
  </si>
  <si>
    <t>Op.14</t>
  </si>
  <si>
    <t>Op.15</t>
  </si>
  <si>
    <t>Op.16</t>
  </si>
  <si>
    <t>Op.17</t>
  </si>
  <si>
    <t>Op.18</t>
  </si>
  <si>
    <t>Op.19</t>
  </si>
  <si>
    <t>T</t>
  </si>
  <si>
    <t>Dif.</t>
  </si>
  <si>
    <t>Carência</t>
  </si>
  <si>
    <t>Praz</t>
  </si>
  <si>
    <t>Am</t>
  </si>
  <si>
    <t>Prest</t>
  </si>
  <si>
    <t>C</t>
  </si>
  <si>
    <t>Pr</t>
  </si>
  <si>
    <t>Teste-Cópia:</t>
  </si>
  <si>
    <t>=&gt;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</si>
  <si>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</si>
  <si>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</si>
  <si>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</si>
  <si>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</si>
  <si>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</si>
  <si>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</si>
  <si>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</si>
  <si>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</si>
  <si>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</si>
  <si>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</si>
  <si>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</si>
  <si>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</si>
  <si>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</si>
  <si>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</si>
  <si>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</si>
  <si>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</si>
  <si>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</si>
  <si>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</si>
  <si>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</si>
  <si>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Am.Iguais?</t>
  </si>
  <si>
    <t>CÁLCULO1-RURAL (JUROS CAPITALIZÁVEIS)</t>
  </si>
  <si>
    <t>Valor para Negociação (R$)</t>
  </si>
  <si>
    <t>sd.dev.jr</t>
  </si>
  <si>
    <t>juros</t>
  </si>
  <si>
    <t>juros pg</t>
  </si>
  <si>
    <t>amortização</t>
  </si>
  <si>
    <t>prestação</t>
  </si>
  <si>
    <t>saldo</t>
  </si>
  <si>
    <t>ano</t>
  </si>
  <si>
    <t>prop.</t>
  </si>
  <si>
    <t>carência</t>
  </si>
  <si>
    <t>sd dev amortiz</t>
  </si>
  <si>
    <t>Amortizações</t>
  </si>
  <si>
    <t>OPERAÇÕES - AMORTIZAÇÕES NÃO IGUAIS</t>
  </si>
  <si>
    <t>Op.20</t>
  </si>
  <si>
    <t>CÁLCULO2-NÃO RURAL (JUROS EXIGÍVEIS)</t>
  </si>
  <si>
    <t>CÁLCULO3-(PARCELAS IGUAIS)</t>
  </si>
  <si>
    <t>Carência:</t>
  </si>
  <si>
    <t>Prazo:</t>
  </si>
  <si>
    <t>Prazo</t>
  </si>
  <si>
    <t>CAPACIDADE DE PAGAMENTO</t>
  </si>
  <si>
    <t>Especificação</t>
  </si>
  <si>
    <t>Ano 1</t>
  </si>
  <si>
    <t>Ano 2</t>
  </si>
  <si>
    <t>Ano 3</t>
  </si>
  <si>
    <t>Ano 4</t>
  </si>
  <si>
    <t>Ano 5</t>
  </si>
  <si>
    <t>Ano 6</t>
  </si>
  <si>
    <t>Ano 7</t>
  </si>
  <si>
    <t>Ano 8</t>
  </si>
  <si>
    <t>Ano 9</t>
  </si>
  <si>
    <t>Ano 10</t>
  </si>
  <si>
    <t>Ano 11</t>
  </si>
  <si>
    <t>Ano 12</t>
  </si>
  <si>
    <t>Ano 13</t>
  </si>
  <si>
    <t>Ano 14</t>
  </si>
  <si>
    <t>Ano 15</t>
  </si>
  <si>
    <t>Ano 16</t>
  </si>
  <si>
    <t>Ano 17</t>
  </si>
  <si>
    <t>Ano 18</t>
  </si>
  <si>
    <t>Ano 19</t>
  </si>
  <si>
    <t>Ano 20</t>
  </si>
  <si>
    <t>Receitas Totais</t>
  </si>
  <si>
    <t>Custos Totais</t>
  </si>
  <si>
    <t>Rédito Operacional</t>
  </si>
  <si>
    <t>Aporte Adicional</t>
  </si>
  <si>
    <t>Encargos da Proposta</t>
  </si>
  <si>
    <t>Amortização (Principal) da Proposta</t>
  </si>
  <si>
    <t>Capacidade de Pagamento</t>
  </si>
  <si>
    <t>Encargos das Operações - Total</t>
  </si>
  <si>
    <t>Amortização das Operações - Totais</t>
  </si>
  <si>
    <t>PRESTAÇÕES DAS OPERAÇÕES</t>
  </si>
  <si>
    <t>Prestação das Operações - Total</t>
  </si>
  <si>
    <t>Descrição</t>
  </si>
  <si>
    <t>Qtde.</t>
  </si>
  <si>
    <t>Unid.</t>
  </si>
  <si>
    <t>Vr. Unit.</t>
  </si>
  <si>
    <t>Rec.Próprios</t>
  </si>
  <si>
    <t>Vr. Total</t>
  </si>
  <si>
    <t>SubTotal ........................................................................................................................</t>
  </si>
  <si>
    <t>Taxa de Elaboração do Projeto</t>
  </si>
  <si>
    <t>verba</t>
  </si>
  <si>
    <t>Total ..............................................................................................................................</t>
  </si>
  <si>
    <t>Categoria Animal</t>
  </si>
  <si>
    <t>Quantidade</t>
  </si>
  <si>
    <t>Atual</t>
  </si>
  <si>
    <t>A Adquirir</t>
  </si>
  <si>
    <t>Declaro(amos), por este meio, para todos os fins de direito e sob as penas da Lei, que o(s) imóvel(eis) rural(ais) objeto desta proposta de financiamento de minha (nossa) propriedade dispõe(em) de suficiente e adequado suporte forrageiro, de aguadas e de instalações que asseguram rigorosamente a viabilidade técnica e econômica do empreendimento e do plano proposto e que os dados fornecidos acima constituem a legitima expressão da verdade.</t>
  </si>
  <si>
    <t>MÁXIMO</t>
  </si>
  <si>
    <t>PERCENTUAL DE UTILIZAÇÃO (%)</t>
  </si>
  <si>
    <t>EXIBE/OCULTA AS COLUNAS==&gt;</t>
  </si>
  <si>
    <t>LIMPA AS COLUNAS==&gt;</t>
  </si>
  <si>
    <t>Am.Iguais</t>
  </si>
  <si>
    <t>teste</t>
  </si>
  <si>
    <t>Capacidade_de_Pagamento-Temp</t>
  </si>
  <si>
    <t>Parâmetros Técnicos para determinar a ROL, RLE e FC a partir da ROB</t>
  </si>
  <si>
    <t>Cálculo1</t>
  </si>
  <si>
    <t>M61:U61</t>
  </si>
  <si>
    <t>N61:U61</t>
  </si>
  <si>
    <t>O61:U61</t>
  </si>
  <si>
    <t>P61:U61</t>
  </si>
  <si>
    <t>Q61:U61</t>
  </si>
  <si>
    <t>R61:U61</t>
  </si>
  <si>
    <t>S61:U61</t>
  </si>
  <si>
    <t>T61:U61</t>
  </si>
  <si>
    <t>U61:U61</t>
  </si>
  <si>
    <t>Cálculo2</t>
  </si>
  <si>
    <t>Prestação da Proposta - Total</t>
  </si>
  <si>
    <t>Porte</t>
  </si>
  <si>
    <t>ROL/ROB ou FOB</t>
  </si>
  <si>
    <t>Setor</t>
  </si>
  <si>
    <t>Não Rural (Exigíveis)-Prestações Iguais</t>
  </si>
  <si>
    <t>Cálculo3</t>
  </si>
  <si>
    <t>MEI</t>
  </si>
  <si>
    <t>Industrial</t>
  </si>
  <si>
    <t>Capitalizáveis</t>
  </si>
  <si>
    <t>Micro</t>
  </si>
  <si>
    <t>Comércio</t>
  </si>
  <si>
    <t>Exigíveis</t>
  </si>
  <si>
    <t>Pequeno</t>
  </si>
  <si>
    <t>Serviços</t>
  </si>
  <si>
    <t>Exigíveis-Prest.Iguais</t>
  </si>
  <si>
    <t>Pequeno-Médio</t>
  </si>
  <si>
    <t>Médio</t>
  </si>
  <si>
    <t>AD</t>
  </si>
  <si>
    <t>Grande</t>
  </si>
  <si>
    <t>AE</t>
  </si>
  <si>
    <t>FC/ROL</t>
  </si>
  <si>
    <t>Caso não seja apresentada a documentação referida acima, a análise poderá utilizar-se dos dados do SCR-Bacen e aplicar o Sistema de Amortização Constante (SAC), considerando-se prazo de 5 anos, aplicando como taxa o custo do capital próprio já admitido pelo Banco.</t>
  </si>
  <si>
    <t>Custo do capital próprio referência para análise de projetos</t>
  </si>
  <si>
    <t>TIPO DE PROJETO</t>
  </si>
  <si>
    <t>CUSTO</t>
  </si>
  <si>
    <t>Projetos não rurais</t>
  </si>
  <si>
    <t>Projetos rurais - médio e grande produtor</t>
  </si>
  <si>
    <t>Projetos rurais - mini e pequeno produtor</t>
  </si>
  <si>
    <t>Receitas</t>
  </si>
  <si>
    <t>Receitas-Líquida</t>
  </si>
  <si>
    <t>Custo</t>
  </si>
  <si>
    <t>Lucro</t>
  </si>
  <si>
    <t>SCR-Bacen - Sem Documentação</t>
  </si>
  <si>
    <t>Taxa de Juros</t>
  </si>
  <si>
    <t>M141:U141</t>
  </si>
  <si>
    <t>N141:U141</t>
  </si>
  <si>
    <t>O141:U141</t>
  </si>
  <si>
    <t>P141:U141</t>
  </si>
  <si>
    <t>Q141:U141</t>
  </si>
  <si>
    <t>R141:U141</t>
  </si>
  <si>
    <t>S141:U141</t>
  </si>
  <si>
    <t>T141:U141</t>
  </si>
  <si>
    <t>U141:U141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</si>
</sst>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[$-F800]dddd\,\ mmmm\ dd\,\ yyyy"/>
    <numFmt numFmtId="165" formatCode="#,##0.0000000000000"/>
    <numFmt numFmtId="166" formatCode="#,##0.0"/>
    <numFmt numFmtId="167" formatCode="_(* #,##0.0_);_(* \(#,##0.0\);_(* &quot;-&quot;?_);_(@_)"/>
    <numFmt numFmtId="168" formatCode="_(* #,##0.00_);_(* \(#,##0.00\);_(* &quot;-&quot;??_);_(@_)"/>
    <numFmt numFmtId="169" formatCode="#,##0.000000000000"/>
    <numFmt numFmtId="170" formatCode="0.0000%"/>
    <numFmt numFmtId="171" formatCode="_-* #,##0.00_-;\-* #,##0.00_-;_-* &quot;-&quot;??_-;_-@"/>
    <numFmt numFmtId="172" formatCode="0.00000"/>
  </numFmts>
  <fonts count="37" x14ac:knownFonts="1">
    <font>
      <sz val="12"/>
      <color rgb="FF000000"/>
      <name val="Arial"/>
    </font>
    <font>
      <sz val="11"/>
      <color rgb="FF000000"/>
      <name val="Calibri"/>
    </font>
    <font>
      <b/>
      <sz val="20"/>
      <color rgb="FF000000"/>
      <name val="Arial Narrow"/>
    </font>
    <font>
      <sz val="12"/>
      <name val="Arial"/>
    </font>
    <font>
      <sz val="11"/>
      <color rgb="FF000000"/>
      <name val="Arial Narrow"/>
    </font>
    <font>
      <b/>
      <sz val="12"/>
      <color rgb="FF000000"/>
      <name val="Arial Narrow"/>
    </font>
    <font>
      <sz val="12"/>
      <color rgb="FF000000"/>
      <name val="Arial Narrow"/>
    </font>
    <font>
      <b/>
      <sz val="14"/>
      <color rgb="FF000000"/>
      <name val="Arial Narrow"/>
    </font>
    <font>
      <b/>
      <sz val="12"/>
      <color rgb="FF0F243E"/>
      <name val="Arial Narrow"/>
    </font>
    <font>
      <sz val="10"/>
      <name val="Arial"/>
    </font>
    <font>
      <b/>
      <sz val="12"/>
      <name val="Arial Narrow"/>
    </font>
    <font>
      <b/>
      <i/>
      <sz val="10"/>
      <name val="Arial Narrow"/>
    </font>
    <font>
      <b/>
      <sz val="12"/>
      <name val="Arial"/>
    </font>
    <font>
      <b/>
      <sz val="12"/>
      <color rgb="FFFFFFFF"/>
      <name val="Arial Narrow"/>
    </font>
    <font>
      <b/>
      <sz val="7"/>
      <name val="Arial"/>
    </font>
    <font>
      <b/>
      <sz val="10"/>
      <name val="Arial"/>
    </font>
    <font>
      <sz val="12"/>
      <name val="Arial Narrow"/>
    </font>
    <font>
      <b/>
      <sz val="12"/>
      <color rgb="FFBFBFBF"/>
      <name val="Arial Narrow"/>
    </font>
    <font>
      <sz val="12"/>
      <color rgb="FFBFBFBF"/>
      <name val="Arial Narrow"/>
    </font>
    <font>
      <sz val="12"/>
      <name val="Arial"/>
    </font>
    <font>
      <i/>
      <sz val="12"/>
      <name val="Arial Narrow"/>
    </font>
    <font>
      <b/>
      <sz val="10"/>
      <color rgb="FF000000"/>
      <name val="Arial Narrow"/>
    </font>
    <font>
      <b/>
      <sz val="10"/>
      <color rgb="FFFF0000"/>
      <name val="Arial"/>
    </font>
    <font>
      <sz val="8"/>
      <name val="Arial"/>
    </font>
    <font>
      <b/>
      <sz val="14"/>
      <color rgb="FF1F497D"/>
      <name val="Arial Narrow"/>
    </font>
    <font>
      <b/>
      <sz val="10"/>
      <color rgb="FF000000"/>
      <name val="Arial"/>
    </font>
    <font>
      <sz val="10"/>
      <color rgb="FF000000"/>
      <name val="Arial"/>
    </font>
    <font>
      <sz val="10"/>
      <name val="Arial Narrow"/>
    </font>
    <font>
      <i/>
      <sz val="10"/>
      <name val="Arial Narrow"/>
    </font>
    <font>
      <b/>
      <sz val="11"/>
      <color rgb="FF000000"/>
      <name val="Arial Narrow"/>
    </font>
    <font>
      <sz val="10"/>
      <color rgb="FF000000"/>
      <name val="Arial Narrow"/>
    </font>
    <font>
      <sz val="11"/>
      <name val="Arial"/>
    </font>
    <font>
      <sz val="10"/>
      <color rgb="FFFF0000"/>
      <name val="Arial"/>
    </font>
    <font>
      <b/>
      <sz val="10"/>
      <color rgb="FFFF0000"/>
      <name val="Arial Narrow"/>
    </font>
    <font>
      <sz val="12"/>
      <color rgb="FFFF0000"/>
      <name val="Arial"/>
    </font>
    <font>
      <b/>
      <sz val="12"/>
      <color rgb="FFFF0000"/>
      <name val="Arial"/>
    </font>
    <font>
      <b/>
      <sz val="12"/>
      <color rgb="FFFF0000"/>
      <name val="Arial Narrow"/>
    </font>
  </fonts>
  <fills count="13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7F7F7F"/>
        <bgColor rgb="FF7F7F7F"/>
      </patternFill>
    </fill>
    <fill>
      <patternFill patternType="solid">
        <fgColor rgb="FFA5A5A5"/>
        <bgColor rgb="FFA5A5A5"/>
      </patternFill>
    </fill>
    <fill>
      <patternFill patternType="solid">
        <fgColor rgb="FFFFFFFF"/>
        <bgColor rgb="FFFFFFFF"/>
      </patternFill>
    </fill>
    <fill>
      <patternFill patternType="solid">
        <fgColor rgb="FFC0C0C0"/>
        <bgColor rgb="FFC0C0C0"/>
      </patternFill>
    </fill>
    <fill>
      <patternFill patternType="solid">
        <fgColor rgb="FF993366"/>
        <bgColor rgb="FF993366"/>
      </patternFill>
    </fill>
    <fill>
      <patternFill patternType="solid">
        <fgColor rgb="FFBFBFBF"/>
        <bgColor rgb="FFBFBFBF"/>
      </patternFill>
    </fill>
    <fill>
      <patternFill patternType="solid">
        <fgColor rgb="FFF2F2F2"/>
        <bgColor rgb="FFF2F2F2"/>
      </patternFill>
    </fill>
    <fill>
      <patternFill patternType="solid">
        <fgColor rgb="FF000080"/>
        <bgColor rgb="FF000080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</fills>
  <borders count="91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hair">
        <color rgb="FF000000"/>
      </bottom>
      <diagonal/>
    </border>
  </borders>
  <cellStyleXfs count="1">
    <xf numFmtId="0" fontId="0" fillId="0" borderId="0"/>
  </cellStyleXfs>
  <cellXfs count="366">
    <xf numFmtId="0" fontId="0" fillId="0" borderId="0" xfId="0" applyFont="1" applyAlignment="1"/>
    <xf numFmtId="0" fontId="1" fillId="2" borderId="1" xfId="0" applyFont="1" applyFill="1" applyBorder="1" applyAlignment="1"/>
    <xf numFmtId="0" fontId="1" fillId="3" borderId="1" xfId="0" applyFont="1" applyFill="1" applyBorder="1" applyAlignment="1"/>
    <xf numFmtId="0" fontId="4" fillId="2" borderId="1" xfId="0" applyFont="1" applyFill="1" applyBorder="1" applyAlignment="1"/>
    <xf numFmtId="0" fontId="4" fillId="5" borderId="1" xfId="0" applyFont="1" applyFill="1" applyBorder="1" applyAlignment="1"/>
    <xf numFmtId="0" fontId="5" fillId="4" borderId="8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4" fillId="4" borderId="8" xfId="0" applyFont="1" applyFill="1" applyBorder="1" applyAlignment="1"/>
    <xf numFmtId="0" fontId="6" fillId="4" borderId="11" xfId="0" applyFont="1" applyFill="1" applyBorder="1" applyAlignment="1"/>
    <xf numFmtId="0" fontId="7" fillId="4" borderId="8" xfId="0" applyFont="1" applyFill="1" applyBorder="1" applyAlignment="1">
      <alignment vertical="center" wrapText="1"/>
    </xf>
    <xf numFmtId="0" fontId="5" fillId="4" borderId="11" xfId="0" applyFont="1" applyFill="1" applyBorder="1" applyAlignment="1">
      <alignment vertical="center" wrapText="1"/>
    </xf>
    <xf numFmtId="0" fontId="6" fillId="4" borderId="1" xfId="0" applyFont="1" applyFill="1" applyBorder="1" applyAlignment="1"/>
    <xf numFmtId="0" fontId="4" fillId="4" borderId="12" xfId="0" applyFont="1" applyFill="1" applyBorder="1" applyAlignment="1"/>
    <xf numFmtId="14" fontId="5" fillId="4" borderId="13" xfId="0" applyNumberFormat="1" applyFont="1" applyFill="1" applyBorder="1" applyAlignment="1"/>
    <xf numFmtId="14" fontId="8" fillId="4" borderId="14" xfId="0" applyNumberFormat="1" applyFont="1" applyFill="1" applyBorder="1" applyAlignment="1"/>
    <xf numFmtId="0" fontId="9" fillId="6" borderId="1" xfId="0" applyFont="1" applyFill="1" applyBorder="1" applyAlignment="1"/>
    <xf numFmtId="0" fontId="10" fillId="6" borderId="1" xfId="0" applyFont="1" applyFill="1" applyBorder="1" applyAlignment="1">
      <alignment vertical="center"/>
    </xf>
    <xf numFmtId="4" fontId="12" fillId="6" borderId="1" xfId="0" applyNumberFormat="1" applyFont="1" applyFill="1" applyBorder="1" applyAlignment="1">
      <alignment horizontal="center"/>
    </xf>
    <xf numFmtId="0" fontId="12" fillId="6" borderId="1" xfId="0" applyFont="1" applyFill="1" applyBorder="1" applyAlignment="1">
      <alignment horizontal="center"/>
    </xf>
    <xf numFmtId="0" fontId="6" fillId="6" borderId="1" xfId="0" applyFont="1" applyFill="1" applyBorder="1" applyAlignment="1">
      <alignment vertical="center"/>
    </xf>
    <xf numFmtId="0" fontId="11" fillId="6" borderId="1" xfId="0" applyFont="1" applyFill="1" applyBorder="1" applyAlignment="1">
      <alignment horizontal="right" vertical="top"/>
    </xf>
    <xf numFmtId="0" fontId="5" fillId="6" borderId="20" xfId="0" applyFont="1" applyFill="1" applyBorder="1" applyAlignment="1">
      <alignment vertical="center"/>
    </xf>
    <xf numFmtId="0" fontId="9" fillId="8" borderId="1" xfId="0" applyFont="1" applyFill="1" applyBorder="1" applyAlignment="1"/>
    <xf numFmtId="0" fontId="5" fillId="6" borderId="1" xfId="0" applyFont="1" applyFill="1" applyBorder="1" applyAlignment="1">
      <alignment vertical="center"/>
    </xf>
    <xf numFmtId="0" fontId="9" fillId="6" borderId="1" xfId="0" applyFont="1" applyFill="1" applyBorder="1" applyAlignment="1">
      <alignment vertical="center"/>
    </xf>
    <xf numFmtId="0" fontId="10" fillId="6" borderId="1" xfId="0" applyFont="1" applyFill="1" applyBorder="1" applyAlignment="1">
      <alignment horizontal="center" vertical="center"/>
    </xf>
    <xf numFmtId="0" fontId="5" fillId="6" borderId="26" xfId="0" applyFont="1" applyFill="1" applyBorder="1" applyAlignment="1">
      <alignment horizontal="center" vertical="center" wrapText="1"/>
    </xf>
    <xf numFmtId="0" fontId="5" fillId="6" borderId="20" xfId="0" applyFont="1" applyFill="1" applyBorder="1" applyAlignment="1">
      <alignment horizontal="center" vertical="center" wrapText="1"/>
    </xf>
    <xf numFmtId="0" fontId="5" fillId="6" borderId="27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/>
    <xf numFmtId="0" fontId="9" fillId="6" borderId="1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/>
    </xf>
    <xf numFmtId="4" fontId="6" fillId="8" borderId="20" xfId="0" applyNumberFormat="1" applyFont="1" applyFill="1" applyBorder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0" fontId="17" fillId="8" borderId="26" xfId="0" applyFont="1" applyFill="1" applyBorder="1" applyAlignment="1">
      <alignment horizontal="center" vertical="center" wrapText="1"/>
    </xf>
    <xf numFmtId="0" fontId="6" fillId="5" borderId="20" xfId="0" applyFont="1" applyFill="1" applyBorder="1" applyAlignment="1">
      <alignment horizontal="center" vertical="center"/>
    </xf>
    <xf numFmtId="4" fontId="6" fillId="5" borderId="20" xfId="0" applyNumberFormat="1" applyFont="1" applyFill="1" applyBorder="1" applyAlignment="1">
      <alignment horizontal="center" vertical="center"/>
    </xf>
    <xf numFmtId="0" fontId="18" fillId="8" borderId="27" xfId="0" applyFont="1" applyFill="1" applyBorder="1" applyAlignment="1">
      <alignment horizontal="center" vertical="center"/>
    </xf>
    <xf numFmtId="0" fontId="5" fillId="8" borderId="29" xfId="0" applyFont="1" applyFill="1" applyBorder="1" applyAlignment="1">
      <alignment horizontal="center" vertical="center" wrapText="1"/>
    </xf>
    <xf numFmtId="0" fontId="6" fillId="5" borderId="29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/>
    <xf numFmtId="0" fontId="19" fillId="6" borderId="1" xfId="0" applyFont="1" applyFill="1" applyBorder="1" applyAlignment="1">
      <alignment horizontal="center"/>
    </xf>
    <xf numFmtId="4" fontId="15" fillId="6" borderId="1" xfId="0" applyNumberFormat="1" applyFont="1" applyFill="1" applyBorder="1" applyAlignment="1"/>
    <xf numFmtId="0" fontId="5" fillId="6" borderId="34" xfId="0" applyFont="1" applyFill="1" applyBorder="1" applyAlignment="1">
      <alignment horizontal="center" vertical="center" wrapText="1"/>
    </xf>
    <xf numFmtId="1" fontId="5" fillId="8" borderId="20" xfId="0" applyNumberFormat="1" applyFont="1" applyFill="1" applyBorder="1" applyAlignment="1">
      <alignment horizontal="center" vertical="center"/>
    </xf>
    <xf numFmtId="4" fontId="6" fillId="5" borderId="34" xfId="0" applyNumberFormat="1" applyFont="1" applyFill="1" applyBorder="1" applyAlignment="1">
      <alignment horizontal="center" vertical="center"/>
    </xf>
    <xf numFmtId="1" fontId="17" fillId="8" borderId="1" xfId="0" applyNumberFormat="1" applyFont="1" applyFill="1" applyBorder="1" applyAlignment="1">
      <alignment horizontal="center" vertical="center"/>
    </xf>
    <xf numFmtId="0" fontId="12" fillId="6" borderId="20" xfId="0" applyFont="1" applyFill="1" applyBorder="1" applyAlignment="1">
      <alignment horizontal="right" vertical="center"/>
    </xf>
    <xf numFmtId="0" fontId="6" fillId="5" borderId="1" xfId="0" applyFont="1" applyFill="1" applyBorder="1" applyAlignment="1">
      <alignment vertical="center"/>
    </xf>
    <xf numFmtId="0" fontId="5" fillId="6" borderId="27" xfId="0" applyFont="1" applyFill="1" applyBorder="1" applyAlignment="1">
      <alignment vertical="center" wrapText="1"/>
    </xf>
    <xf numFmtId="0" fontId="19" fillId="5" borderId="1" xfId="0" applyFont="1" applyFill="1" applyBorder="1" applyAlignment="1">
      <alignment vertical="center"/>
    </xf>
    <xf numFmtId="0" fontId="9" fillId="6" borderId="27" xfId="0" applyFont="1" applyFill="1" applyBorder="1" applyAlignment="1"/>
    <xf numFmtId="0" fontId="5" fillId="5" borderId="1" xfId="0" applyFont="1" applyFill="1" applyBorder="1" applyAlignment="1">
      <alignment vertical="center"/>
    </xf>
    <xf numFmtId="49" fontId="6" fillId="5" borderId="1" xfId="0" applyNumberFormat="1" applyFont="1" applyFill="1" applyBorder="1" applyAlignment="1">
      <alignment vertical="center"/>
    </xf>
    <xf numFmtId="14" fontId="6" fillId="5" borderId="1" xfId="0" applyNumberFormat="1" applyFont="1" applyFill="1" applyBorder="1" applyAlignment="1">
      <alignment horizontal="left" vertical="center"/>
    </xf>
    <xf numFmtId="0" fontId="9" fillId="6" borderId="46" xfId="0" applyFont="1" applyFill="1" applyBorder="1" applyAlignment="1"/>
    <xf numFmtId="0" fontId="5" fillId="6" borderId="1" xfId="0" applyFont="1" applyFill="1" applyBorder="1" applyAlignment="1">
      <alignment vertical="center" wrapText="1"/>
    </xf>
    <xf numFmtId="0" fontId="9" fillId="0" borderId="0" xfId="0" applyFont="1"/>
    <xf numFmtId="0" fontId="9" fillId="5" borderId="1" xfId="0" applyFont="1" applyFill="1" applyBorder="1" applyAlignment="1">
      <alignment vertical="center"/>
    </xf>
    <xf numFmtId="0" fontId="5" fillId="5" borderId="34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  <xf numFmtId="0" fontId="5" fillId="5" borderId="27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5" borderId="47" xfId="0" applyFont="1" applyFill="1" applyBorder="1" applyAlignment="1">
      <alignment vertical="center" wrapText="1"/>
    </xf>
    <xf numFmtId="0" fontId="5" fillId="5" borderId="48" xfId="0" applyFont="1" applyFill="1" applyBorder="1" applyAlignment="1">
      <alignment horizontal="center" vertical="center" wrapText="1"/>
    </xf>
    <xf numFmtId="0" fontId="6" fillId="5" borderId="49" xfId="0" applyFont="1" applyFill="1" applyBorder="1" applyAlignment="1">
      <alignment horizontal="center" vertical="center"/>
    </xf>
    <xf numFmtId="4" fontId="6" fillId="5" borderId="49" xfId="0" applyNumberFormat="1" applyFont="1" applyFill="1" applyBorder="1" applyAlignment="1">
      <alignment horizontal="center" vertical="center"/>
    </xf>
    <xf numFmtId="0" fontId="6" fillId="5" borderId="27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left" vertical="center" wrapText="1"/>
    </xf>
    <xf numFmtId="0" fontId="16" fillId="6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4" fontId="6" fillId="5" borderId="1" xfId="0" applyNumberFormat="1" applyFont="1" applyFill="1" applyBorder="1" applyAlignment="1">
      <alignment horizontal="center" vertical="center"/>
    </xf>
    <xf numFmtId="0" fontId="10" fillId="6" borderId="9" xfId="0" applyFont="1" applyFill="1" applyBorder="1" applyAlignment="1">
      <alignment vertical="center"/>
    </xf>
    <xf numFmtId="0" fontId="9" fillId="6" borderId="10" xfId="0" applyFont="1" applyFill="1" applyBorder="1" applyAlignment="1"/>
    <xf numFmtId="0" fontId="10" fillId="6" borderId="9" xfId="0" applyFont="1" applyFill="1" applyBorder="1" applyAlignment="1">
      <alignment vertical="center"/>
    </xf>
    <xf numFmtId="0" fontId="9" fillId="6" borderId="25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left" vertical="center" wrapText="1"/>
    </xf>
    <xf numFmtId="0" fontId="19" fillId="5" borderId="1" xfId="0" applyFont="1" applyFill="1" applyBorder="1" applyAlignment="1"/>
    <xf numFmtId="1" fontId="6" fillId="5" borderId="20" xfId="0" applyNumberFormat="1" applyFont="1" applyFill="1" applyBorder="1" applyAlignment="1">
      <alignment horizontal="center" vertical="center"/>
    </xf>
    <xf numFmtId="4" fontId="6" fillId="5" borderId="1" xfId="0" applyNumberFormat="1" applyFont="1" applyFill="1" applyBorder="1" applyAlignment="1">
      <alignment vertical="center"/>
    </xf>
    <xf numFmtId="0" fontId="16" fillId="5" borderId="1" xfId="0" applyFont="1" applyFill="1" applyBorder="1" applyAlignment="1">
      <alignment horizontal="left" vertical="center" wrapText="1"/>
    </xf>
    <xf numFmtId="0" fontId="9" fillId="6" borderId="1" xfId="0" applyFont="1" applyFill="1" applyBorder="1" applyAlignment="1">
      <alignment horizontal="left"/>
    </xf>
    <xf numFmtId="0" fontId="16" fillId="5" borderId="1" xfId="0" applyFont="1" applyFill="1" applyBorder="1" applyAlignment="1">
      <alignment vertical="center"/>
    </xf>
    <xf numFmtId="22" fontId="6" fillId="6" borderId="55" xfId="0" applyNumberFormat="1" applyFont="1" applyFill="1" applyBorder="1" applyAlignment="1">
      <alignment vertical="center"/>
    </xf>
    <xf numFmtId="0" fontId="5" fillId="6" borderId="55" xfId="0" applyFont="1" applyFill="1" applyBorder="1" applyAlignment="1">
      <alignment vertical="center"/>
    </xf>
    <xf numFmtId="0" fontId="6" fillId="6" borderId="58" xfId="0" applyFont="1" applyFill="1" applyBorder="1" applyAlignment="1">
      <alignment vertical="center"/>
    </xf>
    <xf numFmtId="4" fontId="5" fillId="6" borderId="20" xfId="0" applyNumberFormat="1" applyFont="1" applyFill="1" applyBorder="1" applyAlignment="1">
      <alignment horizontal="center" vertical="center" wrapText="1"/>
    </xf>
    <xf numFmtId="1" fontId="6" fillId="8" borderId="20" xfId="0" applyNumberFormat="1" applyFont="1" applyFill="1" applyBorder="1" applyAlignment="1">
      <alignment horizontal="center" vertical="center"/>
    </xf>
    <xf numFmtId="4" fontId="6" fillId="5" borderId="20" xfId="0" applyNumberFormat="1" applyFont="1" applyFill="1" applyBorder="1" applyAlignment="1">
      <alignment vertical="center"/>
    </xf>
    <xf numFmtId="4" fontId="5" fillId="8" borderId="20" xfId="0" applyNumberFormat="1" applyFont="1" applyFill="1" applyBorder="1" applyAlignment="1">
      <alignment horizontal="center" vertical="center"/>
    </xf>
    <xf numFmtId="1" fontId="21" fillId="5" borderId="47" xfId="0" applyNumberFormat="1" applyFont="1" applyFill="1" applyBorder="1" applyAlignment="1">
      <alignment horizontal="center" vertical="center"/>
    </xf>
    <xf numFmtId="1" fontId="21" fillId="5" borderId="46" xfId="0" applyNumberFormat="1" applyFont="1" applyFill="1" applyBorder="1" applyAlignment="1">
      <alignment horizontal="center" vertical="center"/>
    </xf>
    <xf numFmtId="1" fontId="21" fillId="5" borderId="60" xfId="0" applyNumberFormat="1" applyFont="1" applyFill="1" applyBorder="1" applyAlignment="1">
      <alignment horizontal="center" vertical="center"/>
    </xf>
    <xf numFmtId="1" fontId="21" fillId="5" borderId="61" xfId="0" applyNumberFormat="1" applyFont="1" applyFill="1" applyBorder="1" applyAlignment="1">
      <alignment horizontal="center" vertical="center"/>
    </xf>
    <xf numFmtId="0" fontId="15" fillId="6" borderId="20" xfId="0" applyFont="1" applyFill="1" applyBorder="1" applyAlignment="1"/>
    <xf numFmtId="0" fontId="9" fillId="6" borderId="20" xfId="0" applyFont="1" applyFill="1" applyBorder="1" applyAlignment="1">
      <alignment horizontal="center"/>
    </xf>
    <xf numFmtId="4" fontId="9" fillId="6" borderId="1" xfId="0" applyNumberFormat="1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/>
    </xf>
    <xf numFmtId="4" fontId="9" fillId="6" borderId="1" xfId="0" applyNumberFormat="1" applyFont="1" applyFill="1" applyBorder="1" applyAlignment="1"/>
    <xf numFmtId="3" fontId="9" fillId="6" borderId="20" xfId="0" applyNumberFormat="1" applyFont="1" applyFill="1" applyBorder="1" applyAlignment="1">
      <alignment horizontal="center"/>
    </xf>
    <xf numFmtId="0" fontId="15" fillId="6" borderId="20" xfId="0" applyFont="1" applyFill="1" applyBorder="1" applyAlignment="1">
      <alignment horizontal="center"/>
    </xf>
    <xf numFmtId="0" fontId="22" fillId="6" borderId="20" xfId="0" applyFont="1" applyFill="1" applyBorder="1" applyAlignment="1">
      <alignment horizontal="center"/>
    </xf>
    <xf numFmtId="0" fontId="23" fillId="6" borderId="1" xfId="0" applyFont="1" applyFill="1" applyBorder="1" applyAlignment="1"/>
    <xf numFmtId="0" fontId="9" fillId="11" borderId="1" xfId="0" applyFont="1" applyFill="1" applyBorder="1" applyAlignment="1"/>
    <xf numFmtId="0" fontId="5" fillId="6" borderId="49" xfId="0" applyFont="1" applyFill="1" applyBorder="1" applyAlignment="1">
      <alignment horizontal="center" vertical="center" wrapText="1"/>
    </xf>
    <xf numFmtId="0" fontId="24" fillId="5" borderId="20" xfId="0" applyFont="1" applyFill="1" applyBorder="1" applyAlignment="1">
      <alignment horizontal="center" vertical="center"/>
    </xf>
    <xf numFmtId="4" fontId="24" fillId="5" borderId="20" xfId="0" applyNumberFormat="1" applyFont="1" applyFill="1" applyBorder="1" applyAlignment="1">
      <alignment horizontal="center" vertical="center"/>
    </xf>
    <xf numFmtId="0" fontId="9" fillId="12" borderId="47" xfId="0" applyFont="1" applyFill="1" applyBorder="1" applyAlignment="1"/>
    <xf numFmtId="0" fontId="9" fillId="12" borderId="46" xfId="0" applyFont="1" applyFill="1" applyBorder="1" applyAlignment="1"/>
    <xf numFmtId="9" fontId="9" fillId="12" borderId="46" xfId="0" applyNumberFormat="1" applyFont="1" applyFill="1" applyBorder="1" applyAlignment="1"/>
    <xf numFmtId="0" fontId="9" fillId="12" borderId="48" xfId="0" applyFont="1" applyFill="1" applyBorder="1" applyAlignment="1"/>
    <xf numFmtId="0" fontId="15" fillId="12" borderId="20" xfId="0" applyFont="1" applyFill="1" applyBorder="1" applyAlignment="1">
      <alignment horizontal="center"/>
    </xf>
    <xf numFmtId="4" fontId="15" fillId="12" borderId="20" xfId="0" applyNumberFormat="1" applyFont="1" applyFill="1" applyBorder="1" applyAlignment="1">
      <alignment horizontal="center"/>
    </xf>
    <xf numFmtId="0" fontId="9" fillId="12" borderId="27" xfId="0" applyFont="1" applyFill="1" applyBorder="1" applyAlignment="1"/>
    <xf numFmtId="0" fontId="9" fillId="12" borderId="1" xfId="0" applyFont="1" applyFill="1" applyBorder="1" applyAlignment="1"/>
    <xf numFmtId="4" fontId="9" fillId="12" borderId="1" xfId="0" applyNumberFormat="1" applyFont="1" applyFill="1" applyBorder="1" applyAlignment="1"/>
    <xf numFmtId="0" fontId="9" fillId="12" borderId="1" xfId="0" applyFont="1" applyFill="1" applyBorder="1" applyAlignment="1">
      <alignment horizontal="center"/>
    </xf>
    <xf numFmtId="4" fontId="9" fillId="12" borderId="26" xfId="0" applyNumberFormat="1" applyFont="1" applyFill="1" applyBorder="1" applyAlignment="1"/>
    <xf numFmtId="10" fontId="9" fillId="11" borderId="1" xfId="0" applyNumberFormat="1" applyFont="1" applyFill="1" applyBorder="1" applyAlignment="1"/>
    <xf numFmtId="4" fontId="9" fillId="12" borderId="27" xfId="0" applyNumberFormat="1" applyFont="1" applyFill="1" applyBorder="1" applyAlignment="1"/>
    <xf numFmtId="10" fontId="9" fillId="12" borderId="1" xfId="0" applyNumberFormat="1" applyFont="1" applyFill="1" applyBorder="1" applyAlignment="1"/>
    <xf numFmtId="0" fontId="9" fillId="12" borderId="26" xfId="0" applyFont="1" applyFill="1" applyBorder="1" applyAlignment="1"/>
    <xf numFmtId="4" fontId="15" fillId="12" borderId="1" xfId="0" applyNumberFormat="1" applyFont="1" applyFill="1" applyBorder="1" applyAlignment="1"/>
    <xf numFmtId="0" fontId="9" fillId="12" borderId="60" xfId="0" applyFont="1" applyFill="1" applyBorder="1" applyAlignment="1"/>
    <xf numFmtId="0" fontId="9" fillId="12" borderId="61" xfId="0" applyFont="1" applyFill="1" applyBorder="1" applyAlignment="1"/>
    <xf numFmtId="0" fontId="9" fillId="12" borderId="63" xfId="0" applyFont="1" applyFill="1" applyBorder="1" applyAlignment="1"/>
    <xf numFmtId="3" fontId="6" fillId="5" borderId="20" xfId="0" applyNumberFormat="1" applyFont="1" applyFill="1" applyBorder="1" applyAlignment="1">
      <alignment vertical="center"/>
    </xf>
    <xf numFmtId="4" fontId="9" fillId="5" borderId="1" xfId="0" applyNumberFormat="1" applyFont="1" applyFill="1" applyBorder="1" applyAlignment="1"/>
    <xf numFmtId="3" fontId="5" fillId="8" borderId="20" xfId="0" applyNumberFormat="1" applyFont="1" applyFill="1" applyBorder="1" applyAlignment="1">
      <alignment horizontal="center" vertical="center"/>
    </xf>
    <xf numFmtId="10" fontId="9" fillId="12" borderId="46" xfId="0" applyNumberFormat="1" applyFont="1" applyFill="1" applyBorder="1" applyAlignment="1"/>
    <xf numFmtId="165" fontId="9" fillId="11" borderId="1" xfId="0" applyNumberFormat="1" applyFont="1" applyFill="1" applyBorder="1" applyAlignment="1"/>
    <xf numFmtId="0" fontId="25" fillId="12" borderId="27" xfId="0" applyFont="1" applyFill="1" applyBorder="1" applyAlignment="1">
      <alignment horizontal="center"/>
    </xf>
    <xf numFmtId="0" fontId="25" fillId="12" borderId="1" xfId="0" applyFont="1" applyFill="1" applyBorder="1" applyAlignment="1">
      <alignment horizontal="center"/>
    </xf>
    <xf numFmtId="4" fontId="25" fillId="12" borderId="1" xfId="0" applyNumberFormat="1" applyFont="1" applyFill="1" applyBorder="1" applyAlignment="1">
      <alignment horizontal="center"/>
    </xf>
    <xf numFmtId="0" fontId="26" fillId="12" borderId="1" xfId="0" applyFont="1" applyFill="1" applyBorder="1" applyAlignment="1">
      <alignment horizontal="center"/>
    </xf>
    <xf numFmtId="0" fontId="25" fillId="12" borderId="26" xfId="0" applyFont="1" applyFill="1" applyBorder="1" applyAlignment="1">
      <alignment horizontal="center"/>
    </xf>
    <xf numFmtId="0" fontId="9" fillId="12" borderId="26" xfId="0" applyFont="1" applyFill="1" applyBorder="1" applyAlignment="1">
      <alignment horizontal="center"/>
    </xf>
    <xf numFmtId="22" fontId="27" fillId="5" borderId="1" xfId="0" applyNumberFormat="1" applyFont="1" applyFill="1" applyBorder="1" applyAlignment="1"/>
    <xf numFmtId="22" fontId="28" fillId="5" borderId="1" xfId="0" applyNumberFormat="1" applyFont="1" applyFill="1" applyBorder="1" applyAlignment="1"/>
    <xf numFmtId="0" fontId="9" fillId="5" borderId="1" xfId="0" applyFont="1" applyFill="1" applyBorder="1" applyAlignment="1"/>
    <xf numFmtId="0" fontId="6" fillId="5" borderId="1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right" vertical="center"/>
    </xf>
    <xf numFmtId="0" fontId="6" fillId="5" borderId="64" xfId="0" applyFont="1" applyFill="1" applyBorder="1" applyAlignment="1">
      <alignment vertical="center"/>
    </xf>
    <xf numFmtId="0" fontId="6" fillId="5" borderId="64" xfId="0" applyFont="1" applyFill="1" applyBorder="1" applyAlignment="1">
      <alignment horizontal="left" vertical="center"/>
    </xf>
    <xf numFmtId="0" fontId="5" fillId="5" borderId="64" xfId="0" applyFont="1" applyFill="1" applyBorder="1" applyAlignment="1">
      <alignment vertical="center"/>
    </xf>
    <xf numFmtId="0" fontId="9" fillId="5" borderId="64" xfId="0" applyFont="1" applyFill="1" applyBorder="1" applyAlignment="1"/>
    <xf numFmtId="0" fontId="29" fillId="5" borderId="20" xfId="0" applyFont="1" applyFill="1" applyBorder="1" applyAlignment="1">
      <alignment horizontal="center" vertical="center"/>
    </xf>
    <xf numFmtId="0" fontId="21" fillId="5" borderId="20" xfId="0" applyFont="1" applyFill="1" applyBorder="1" applyAlignment="1">
      <alignment horizontal="center" vertical="center"/>
    </xf>
    <xf numFmtId="4" fontId="4" fillId="5" borderId="1" xfId="0" applyNumberFormat="1" applyFont="1" applyFill="1" applyBorder="1" applyAlignment="1">
      <alignment vertical="center"/>
    </xf>
    <xf numFmtId="4" fontId="30" fillId="5" borderId="1" xfId="0" applyNumberFormat="1" applyFont="1" applyFill="1" applyBorder="1" applyAlignment="1">
      <alignment vertical="center"/>
    </xf>
    <xf numFmtId="4" fontId="29" fillId="5" borderId="1" xfId="0" applyNumberFormat="1" applyFont="1" applyFill="1" applyBorder="1" applyAlignment="1">
      <alignment vertical="center"/>
    </xf>
    <xf numFmtId="4" fontId="21" fillId="5" borderId="1" xfId="0" applyNumberFormat="1" applyFont="1" applyFill="1" applyBorder="1" applyAlignment="1">
      <alignment vertical="center"/>
    </xf>
    <xf numFmtId="0" fontId="4" fillId="5" borderId="1" xfId="0" applyFont="1" applyFill="1" applyBorder="1" applyAlignment="1">
      <alignment horizontal="left" vertical="center"/>
    </xf>
    <xf numFmtId="0" fontId="31" fillId="5" borderId="1" xfId="0" applyFont="1" applyFill="1" applyBorder="1" applyAlignment="1">
      <alignment horizontal="left"/>
    </xf>
    <xf numFmtId="4" fontId="25" fillId="6" borderId="1" xfId="0" applyNumberFormat="1" applyFont="1" applyFill="1" applyBorder="1" applyAlignment="1"/>
    <xf numFmtId="4" fontId="21" fillId="5" borderId="20" xfId="0" applyNumberFormat="1" applyFont="1" applyFill="1" applyBorder="1" applyAlignment="1">
      <alignment vertical="center"/>
    </xf>
    <xf numFmtId="4" fontId="30" fillId="5" borderId="20" xfId="0" applyNumberFormat="1" applyFont="1" applyFill="1" applyBorder="1" applyAlignment="1">
      <alignment vertical="center"/>
    </xf>
    <xf numFmtId="0" fontId="30" fillId="5" borderId="3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left"/>
    </xf>
    <xf numFmtId="0" fontId="30" fillId="5" borderId="67" xfId="0" applyFont="1" applyFill="1" applyBorder="1" applyAlignment="1">
      <alignment horizontal="left" vertical="center"/>
    </xf>
    <xf numFmtId="0" fontId="30" fillId="5" borderId="20" xfId="0" applyFont="1" applyFill="1" applyBorder="1" applyAlignment="1">
      <alignment horizontal="left" vertical="center"/>
    </xf>
    <xf numFmtId="0" fontId="9" fillId="0" borderId="21" xfId="0" applyFont="1" applyBorder="1" applyAlignment="1">
      <alignment horizontal="left"/>
    </xf>
    <xf numFmtId="0" fontId="30" fillId="5" borderId="1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/>
    </xf>
    <xf numFmtId="0" fontId="5" fillId="6" borderId="34" xfId="0" applyFont="1" applyFill="1" applyBorder="1" applyAlignment="1">
      <alignment vertical="center" wrapText="1"/>
    </xf>
    <xf numFmtId="0" fontId="5" fillId="6" borderId="68" xfId="0" applyFont="1" applyFill="1" applyBorder="1" applyAlignment="1">
      <alignment vertical="center" wrapText="1"/>
    </xf>
    <xf numFmtId="0" fontId="5" fillId="6" borderId="67" xfId="0" applyFont="1" applyFill="1" applyBorder="1" applyAlignment="1">
      <alignment vertical="center" wrapText="1"/>
    </xf>
    <xf numFmtId="0" fontId="6" fillId="0" borderId="69" xfId="0" applyFont="1" applyBorder="1" applyAlignment="1">
      <alignment vertical="center"/>
    </xf>
    <xf numFmtId="0" fontId="6" fillId="0" borderId="70" xfId="0" applyFont="1" applyBorder="1" applyAlignment="1">
      <alignment vertical="center"/>
    </xf>
    <xf numFmtId="0" fontId="6" fillId="0" borderId="71" xfId="0" applyFont="1" applyBorder="1" applyAlignment="1">
      <alignment vertical="center"/>
    </xf>
    <xf numFmtId="166" fontId="6" fillId="0" borderId="72" xfId="0" applyNumberFormat="1" applyFont="1" applyBorder="1" applyAlignment="1">
      <alignment vertical="center"/>
    </xf>
    <xf numFmtId="0" fontId="6" fillId="0" borderId="72" xfId="0" applyFont="1" applyBorder="1" applyAlignment="1">
      <alignment horizontal="center" vertical="center"/>
    </xf>
    <xf numFmtId="4" fontId="6" fillId="0" borderId="72" xfId="0" applyNumberFormat="1" applyFont="1" applyBorder="1" applyAlignment="1">
      <alignment horizontal="right" vertical="center"/>
    </xf>
    <xf numFmtId="4" fontId="6" fillId="0" borderId="73" xfId="0" applyNumberFormat="1" applyFont="1" applyBorder="1" applyAlignment="1">
      <alignment horizontal="right" vertical="center"/>
    </xf>
    <xf numFmtId="4" fontId="6" fillId="6" borderId="74" xfId="0" applyNumberFormat="1" applyFont="1" applyFill="1" applyBorder="1" applyAlignment="1">
      <alignment horizontal="right" vertical="center"/>
    </xf>
    <xf numFmtId="166" fontId="9" fillId="6" borderId="1" xfId="0" applyNumberFormat="1" applyFont="1" applyFill="1" applyBorder="1" applyAlignment="1"/>
    <xf numFmtId="0" fontId="6" fillId="0" borderId="75" xfId="0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6" fillId="0" borderId="51" xfId="0" applyFont="1" applyBorder="1" applyAlignment="1">
      <alignment vertical="center"/>
    </xf>
    <xf numFmtId="166" fontId="6" fillId="0" borderId="76" xfId="0" applyNumberFormat="1" applyFont="1" applyBorder="1" applyAlignment="1">
      <alignment vertical="center"/>
    </xf>
    <xf numFmtId="0" fontId="6" fillId="0" borderId="76" xfId="0" applyFont="1" applyBorder="1" applyAlignment="1">
      <alignment horizontal="center" vertical="center"/>
    </xf>
    <xf numFmtId="4" fontId="6" fillId="0" borderId="76" xfId="0" applyNumberFormat="1" applyFont="1" applyBorder="1" applyAlignment="1">
      <alignment horizontal="right" vertical="center"/>
    </xf>
    <xf numFmtId="4" fontId="6" fillId="0" borderId="50" xfId="0" applyNumberFormat="1" applyFont="1" applyBorder="1" applyAlignment="1">
      <alignment horizontal="right" vertical="center"/>
    </xf>
    <xf numFmtId="4" fontId="6" fillId="6" borderId="77" xfId="0" applyNumberFormat="1" applyFont="1" applyFill="1" applyBorder="1" applyAlignment="1">
      <alignment horizontal="right" vertical="center"/>
    </xf>
    <xf numFmtId="0" fontId="6" fillId="0" borderId="78" xfId="0" applyFont="1" applyBorder="1" applyAlignment="1">
      <alignment vertical="center"/>
    </xf>
    <xf numFmtId="0" fontId="6" fillId="0" borderId="79" xfId="0" applyFont="1" applyBorder="1" applyAlignment="1">
      <alignment vertical="center"/>
    </xf>
    <xf numFmtId="0" fontId="6" fillId="0" borderId="80" xfId="0" applyFont="1" applyBorder="1" applyAlignment="1">
      <alignment vertical="center"/>
    </xf>
    <xf numFmtId="0" fontId="5" fillId="6" borderId="34" xfId="0" applyFont="1" applyFill="1" applyBorder="1" applyAlignment="1">
      <alignment vertical="center"/>
    </xf>
    <xf numFmtId="0" fontId="5" fillId="6" borderId="68" xfId="0" applyFont="1" applyFill="1" applyBorder="1" applyAlignment="1">
      <alignment vertical="center"/>
    </xf>
    <xf numFmtId="0" fontId="5" fillId="6" borderId="67" xfId="0" applyFont="1" applyFill="1" applyBorder="1" applyAlignment="1">
      <alignment vertical="center"/>
    </xf>
    <xf numFmtId="0" fontId="5" fillId="6" borderId="67" xfId="0" applyFont="1" applyFill="1" applyBorder="1" applyAlignment="1">
      <alignment horizontal="left" vertical="center"/>
    </xf>
    <xf numFmtId="4" fontId="6" fillId="6" borderId="20" xfId="0" applyNumberFormat="1" applyFont="1" applyFill="1" applyBorder="1" applyAlignment="1">
      <alignment horizontal="right" vertical="center"/>
    </xf>
    <xf numFmtId="0" fontId="6" fillId="0" borderId="21" xfId="0" applyFont="1" applyBorder="1" applyAlignment="1">
      <alignment vertical="center"/>
    </xf>
    <xf numFmtId="0" fontId="6" fillId="0" borderId="22" xfId="0" applyFont="1" applyBorder="1" applyAlignment="1">
      <alignment vertical="center"/>
    </xf>
    <xf numFmtId="0" fontId="6" fillId="0" borderId="81" xfId="0" applyFont="1" applyBorder="1" applyAlignment="1">
      <alignment vertical="center"/>
    </xf>
    <xf numFmtId="167" fontId="6" fillId="0" borderId="82" xfId="0" applyNumberFormat="1" applyFont="1" applyBorder="1" applyAlignment="1">
      <alignment vertical="center"/>
    </xf>
    <xf numFmtId="0" fontId="6" fillId="0" borderId="82" xfId="0" applyFont="1" applyBorder="1" applyAlignment="1">
      <alignment horizontal="center" vertical="center"/>
    </xf>
    <xf numFmtId="168" fontId="6" fillId="0" borderId="82" xfId="0" applyNumberFormat="1" applyFont="1" applyBorder="1" applyAlignment="1">
      <alignment horizontal="right" vertical="center"/>
    </xf>
    <xf numFmtId="168" fontId="6" fillId="0" borderId="83" xfId="0" applyNumberFormat="1" applyFont="1" applyBorder="1" applyAlignment="1">
      <alignment horizontal="right" vertical="center"/>
    </xf>
    <xf numFmtId="4" fontId="6" fillId="6" borderId="84" xfId="0" applyNumberFormat="1" applyFont="1" applyFill="1" applyBorder="1" applyAlignment="1">
      <alignment horizontal="right" vertical="center"/>
    </xf>
    <xf numFmtId="0" fontId="6" fillId="6" borderId="1" xfId="0" applyFont="1" applyFill="1" applyBorder="1" applyAlignment="1">
      <alignment horizontal="center" vertical="center"/>
    </xf>
    <xf numFmtId="4" fontId="5" fillId="6" borderId="47" xfId="0" applyNumberFormat="1" applyFont="1" applyFill="1" applyBorder="1" applyAlignment="1">
      <alignment vertical="center"/>
    </xf>
    <xf numFmtId="4" fontId="5" fillId="6" borderId="46" xfId="0" applyNumberFormat="1" applyFont="1" applyFill="1" applyBorder="1" applyAlignment="1">
      <alignment vertical="center"/>
    </xf>
    <xf numFmtId="4" fontId="5" fillId="6" borderId="48" xfId="0" applyNumberFormat="1" applyFont="1" applyFill="1" applyBorder="1" applyAlignment="1">
      <alignment vertical="center"/>
    </xf>
    <xf numFmtId="4" fontId="5" fillId="6" borderId="34" xfId="0" applyNumberFormat="1" applyFont="1" applyFill="1" applyBorder="1" applyAlignment="1">
      <alignment vertical="center"/>
    </xf>
    <xf numFmtId="4" fontId="5" fillId="6" borderId="67" xfId="0" applyNumberFormat="1" applyFont="1" applyFill="1" applyBorder="1" applyAlignment="1">
      <alignment vertical="center"/>
    </xf>
    <xf numFmtId="4" fontId="5" fillId="6" borderId="60" xfId="0" applyNumberFormat="1" applyFont="1" applyFill="1" applyBorder="1" applyAlignment="1">
      <alignment vertical="center"/>
    </xf>
    <xf numFmtId="4" fontId="5" fillId="6" borderId="61" xfId="0" applyNumberFormat="1" applyFont="1" applyFill="1" applyBorder="1" applyAlignment="1">
      <alignment vertical="center"/>
    </xf>
    <xf numFmtId="4" fontId="5" fillId="6" borderId="63" xfId="0" applyNumberFormat="1" applyFont="1" applyFill="1" applyBorder="1" applyAlignment="1">
      <alignment vertical="center"/>
    </xf>
    <xf numFmtId="4" fontId="5" fillId="6" borderId="47" xfId="0" applyNumberFormat="1" applyFont="1" applyFill="1" applyBorder="1" applyAlignment="1">
      <alignment horizontal="center" vertical="center"/>
    </xf>
    <xf numFmtId="4" fontId="5" fillId="6" borderId="49" xfId="0" applyNumberFormat="1" applyFont="1" applyFill="1" applyBorder="1" applyAlignment="1">
      <alignment horizontal="center" vertical="center"/>
    </xf>
    <xf numFmtId="49" fontId="6" fillId="5" borderId="85" xfId="0" applyNumberFormat="1" applyFont="1" applyFill="1" applyBorder="1" applyAlignment="1">
      <alignment vertical="center"/>
    </xf>
    <xf numFmtId="49" fontId="6" fillId="5" borderId="86" xfId="0" applyNumberFormat="1" applyFont="1" applyFill="1" applyBorder="1" applyAlignment="1">
      <alignment vertical="center"/>
    </xf>
    <xf numFmtId="49" fontId="6" fillId="5" borderId="87" xfId="0" applyNumberFormat="1" applyFont="1" applyFill="1" applyBorder="1" applyAlignment="1">
      <alignment vertical="center"/>
    </xf>
    <xf numFmtId="3" fontId="6" fillId="5" borderId="72" xfId="0" applyNumberFormat="1" applyFont="1" applyFill="1" applyBorder="1" applyAlignment="1">
      <alignment horizontal="center" vertical="center"/>
    </xf>
    <xf numFmtId="3" fontId="6" fillId="5" borderId="77" xfId="0" applyNumberFormat="1" applyFont="1" applyFill="1" applyBorder="1" applyAlignment="1">
      <alignment horizontal="center" vertical="center"/>
    </xf>
    <xf numFmtId="49" fontId="6" fillId="5" borderId="88" xfId="0" applyNumberFormat="1" applyFont="1" applyFill="1" applyBorder="1" applyAlignment="1">
      <alignment vertical="center"/>
    </xf>
    <xf numFmtId="49" fontId="6" fillId="5" borderId="55" xfId="0" applyNumberFormat="1" applyFont="1" applyFill="1" applyBorder="1" applyAlignment="1">
      <alignment vertical="center"/>
    </xf>
    <xf numFmtId="49" fontId="6" fillId="5" borderId="89" xfId="0" applyNumberFormat="1" applyFont="1" applyFill="1" applyBorder="1" applyAlignment="1">
      <alignment vertical="center"/>
    </xf>
    <xf numFmtId="3" fontId="6" fillId="5" borderId="76" xfId="0" applyNumberFormat="1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vertical="center" wrapText="1"/>
    </xf>
    <xf numFmtId="0" fontId="6" fillId="0" borderId="90" xfId="0" applyFont="1" applyBorder="1" applyAlignment="1">
      <alignment vertical="center"/>
    </xf>
    <xf numFmtId="164" fontId="6" fillId="6" borderId="1" xfId="0" applyNumberFormat="1" applyFont="1" applyFill="1" applyBorder="1" applyAlignment="1">
      <alignment vertical="center"/>
    </xf>
    <xf numFmtId="0" fontId="6" fillId="6" borderId="64" xfId="0" applyFont="1" applyFill="1" applyBorder="1" applyAlignment="1">
      <alignment vertical="center"/>
    </xf>
    <xf numFmtId="4" fontId="22" fillId="6" borderId="1" xfId="0" applyNumberFormat="1" applyFont="1" applyFill="1" applyBorder="1" applyAlignment="1"/>
    <xf numFmtId="0" fontId="32" fillId="6" borderId="1" xfId="0" applyFont="1" applyFill="1" applyBorder="1" applyAlignment="1"/>
    <xf numFmtId="0" fontId="9" fillId="6" borderId="1" xfId="0" applyFont="1" applyFill="1" applyBorder="1" applyAlignment="1">
      <alignment horizontal="right"/>
    </xf>
    <xf numFmtId="169" fontId="9" fillId="6" borderId="1" xfId="0" applyNumberFormat="1" applyFont="1" applyFill="1" applyBorder="1" applyAlignment="1"/>
    <xf numFmtId="0" fontId="12" fillId="6" borderId="1" xfId="0" applyFont="1" applyFill="1" applyBorder="1" applyAlignment="1"/>
    <xf numFmtId="1" fontId="21" fillId="5" borderId="48" xfId="0" applyNumberFormat="1" applyFont="1" applyFill="1" applyBorder="1" applyAlignment="1">
      <alignment horizontal="center" vertical="center"/>
    </xf>
    <xf numFmtId="1" fontId="21" fillId="5" borderId="1" xfId="0" applyNumberFormat="1" applyFont="1" applyFill="1" applyBorder="1" applyAlignment="1">
      <alignment horizontal="center" vertical="center"/>
    </xf>
    <xf numFmtId="1" fontId="21" fillId="5" borderId="63" xfId="0" applyNumberFormat="1" applyFont="1" applyFill="1" applyBorder="1" applyAlignment="1">
      <alignment horizontal="center" vertical="center"/>
    </xf>
    <xf numFmtId="0" fontId="19" fillId="0" borderId="0" xfId="0" applyFont="1" applyAlignment="1"/>
    <xf numFmtId="0" fontId="12" fillId="0" borderId="20" xfId="0" applyFont="1" applyBorder="1" applyAlignment="1"/>
    <xf numFmtId="0" fontId="19" fillId="0" borderId="20" xfId="0" applyFont="1" applyBorder="1" applyAlignment="1"/>
    <xf numFmtId="0" fontId="19" fillId="0" borderId="20" xfId="0" applyFont="1" applyBorder="1" applyAlignment="1">
      <alignment horizontal="center"/>
    </xf>
    <xf numFmtId="0" fontId="12" fillId="0" borderId="0" xfId="0" applyFont="1" applyAlignment="1"/>
    <xf numFmtId="1" fontId="33" fillId="5" borderId="1" xfId="0" applyNumberFormat="1" applyFont="1" applyFill="1" applyBorder="1" applyAlignment="1">
      <alignment horizontal="center" vertical="center"/>
    </xf>
    <xf numFmtId="1" fontId="21" fillId="5" borderId="49" xfId="0" applyNumberFormat="1" applyFont="1" applyFill="1" applyBorder="1" applyAlignment="1">
      <alignment horizontal="center" vertical="center"/>
    </xf>
    <xf numFmtId="0" fontId="34" fillId="0" borderId="20" xfId="0" applyFont="1" applyBorder="1" applyAlignment="1">
      <alignment horizontal="center"/>
    </xf>
    <xf numFmtId="170" fontId="19" fillId="0" borderId="20" xfId="0" applyNumberFormat="1" applyFont="1" applyBorder="1" applyAlignment="1"/>
    <xf numFmtId="10" fontId="19" fillId="0" borderId="20" xfId="0" applyNumberFormat="1" applyFont="1" applyBorder="1" applyAlignment="1"/>
    <xf numFmtId="0" fontId="19" fillId="9" borderId="20" xfId="0" applyFont="1" applyFill="1" applyBorder="1" applyAlignment="1"/>
    <xf numFmtId="170" fontId="19" fillId="9" borderId="20" xfId="0" applyNumberFormat="1" applyFont="1" applyFill="1" applyBorder="1" applyAlignment="1"/>
    <xf numFmtId="0" fontId="19" fillId="11" borderId="20" xfId="0" applyFont="1" applyFill="1" applyBorder="1" applyAlignment="1"/>
    <xf numFmtId="4" fontId="19" fillId="0" borderId="20" xfId="0" applyNumberFormat="1" applyFont="1" applyBorder="1" applyAlignment="1">
      <alignment horizontal="right"/>
    </xf>
    <xf numFmtId="49" fontId="19" fillId="0" borderId="20" xfId="0" applyNumberFormat="1" applyFont="1" applyBorder="1" applyAlignment="1">
      <alignment horizontal="right"/>
    </xf>
    <xf numFmtId="168" fontId="19" fillId="11" borderId="20" xfId="0" applyNumberFormat="1" applyFont="1" applyFill="1" applyBorder="1" applyAlignment="1">
      <alignment horizontal="right"/>
    </xf>
    <xf numFmtId="0" fontId="35" fillId="11" borderId="20" xfId="0" applyFont="1" applyFill="1" applyBorder="1" applyAlignment="1"/>
    <xf numFmtId="171" fontId="35" fillId="11" borderId="20" xfId="0" applyNumberFormat="1" applyFont="1" applyFill="1" applyBorder="1" applyAlignment="1"/>
    <xf numFmtId="168" fontId="19" fillId="11" borderId="20" xfId="0" applyNumberFormat="1" applyFont="1" applyFill="1" applyBorder="1" applyAlignment="1"/>
    <xf numFmtId="0" fontId="19" fillId="11" borderId="20" xfId="0" applyFont="1" applyFill="1" applyBorder="1" applyAlignment="1">
      <alignment horizontal="right"/>
    </xf>
    <xf numFmtId="172" fontId="19" fillId="11" borderId="20" xfId="0" applyNumberFormat="1" applyFont="1" applyFill="1" applyBorder="1" applyAlignment="1">
      <alignment horizontal="right"/>
    </xf>
    <xf numFmtId="0" fontId="19" fillId="11" borderId="20" xfId="0" applyFont="1" applyFill="1" applyBorder="1" applyAlignment="1">
      <alignment horizontal="center"/>
    </xf>
    <xf numFmtId="0" fontId="35" fillId="11" borderId="20" xfId="0" applyFont="1" applyFill="1" applyBorder="1" applyAlignment="1">
      <alignment horizontal="center"/>
    </xf>
    <xf numFmtId="4" fontId="19" fillId="0" borderId="20" xfId="0" applyNumberFormat="1" applyFont="1" applyBorder="1" applyAlignment="1"/>
    <xf numFmtId="4" fontId="35" fillId="0" borderId="20" xfId="0" applyNumberFormat="1" applyFont="1" applyBorder="1" applyAlignment="1">
      <alignment horizontal="center"/>
    </xf>
    <xf numFmtId="4" fontId="19" fillId="0" borderId="20" xfId="0" applyNumberFormat="1" applyFont="1" applyBorder="1" applyAlignment="1">
      <alignment horizontal="center"/>
    </xf>
    <xf numFmtId="1" fontId="9" fillId="6" borderId="1" xfId="0" applyNumberFormat="1" applyFont="1" applyFill="1" applyBorder="1" applyAlignment="1"/>
    <xf numFmtId="1" fontId="5" fillId="6" borderId="1" xfId="0" applyNumberFormat="1" applyFont="1" applyFill="1" applyBorder="1" applyAlignment="1">
      <alignment horizontal="center" vertical="center"/>
    </xf>
    <xf numFmtId="0" fontId="36" fillId="6" borderId="1" xfId="0" applyFont="1" applyFill="1" applyBorder="1" applyAlignment="1">
      <alignment vertical="center"/>
    </xf>
    <xf numFmtId="0" fontId="2" fillId="4" borderId="2" xfId="0" applyFont="1" applyFill="1" applyBorder="1" applyAlignment="1">
      <alignment horizontal="center" vertical="center"/>
    </xf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5" fillId="4" borderId="9" xfId="0" applyFont="1" applyFill="1" applyBorder="1" applyAlignment="1">
      <alignment horizontal="center" vertical="top"/>
    </xf>
    <xf numFmtId="0" fontId="3" fillId="0" borderId="10" xfId="0" applyFont="1" applyBorder="1"/>
    <xf numFmtId="0" fontId="17" fillId="8" borderId="31" xfId="0" applyFont="1" applyFill="1" applyBorder="1" applyAlignment="1">
      <alignment horizontal="center" vertical="center" wrapText="1"/>
    </xf>
    <xf numFmtId="0" fontId="3" fillId="0" borderId="32" xfId="0" applyFont="1" applyBorder="1"/>
    <xf numFmtId="0" fontId="3" fillId="0" borderId="35" xfId="0" applyFont="1" applyBorder="1"/>
    <xf numFmtId="0" fontId="3" fillId="0" borderId="36" xfId="0" applyFont="1" applyBorder="1"/>
    <xf numFmtId="0" fontId="17" fillId="8" borderId="24" xfId="0" applyFont="1" applyFill="1" applyBorder="1" applyAlignment="1">
      <alignment horizontal="center" vertical="center" wrapText="1"/>
    </xf>
    <xf numFmtId="0" fontId="3" fillId="0" borderId="25" xfId="0" applyFont="1" applyBorder="1"/>
    <xf numFmtId="4" fontId="6" fillId="5" borderId="21" xfId="0" applyNumberFormat="1" applyFont="1" applyFill="1" applyBorder="1" applyAlignment="1">
      <alignment horizontal="center" vertical="center"/>
    </xf>
    <xf numFmtId="0" fontId="3" fillId="0" borderId="23" xfId="0" applyFont="1" applyBorder="1"/>
    <xf numFmtId="4" fontId="6" fillId="8" borderId="9" xfId="0" applyNumberFormat="1" applyFont="1" applyFill="1" applyBorder="1" applyAlignment="1">
      <alignment horizontal="center" vertical="center"/>
    </xf>
    <xf numFmtId="4" fontId="6" fillId="8" borderId="21" xfId="0" applyNumberFormat="1" applyFont="1" applyFill="1" applyBorder="1" applyAlignment="1">
      <alignment horizontal="center" vertical="center"/>
    </xf>
    <xf numFmtId="0" fontId="5" fillId="6" borderId="21" xfId="0" applyFont="1" applyFill="1" applyBorder="1" applyAlignment="1">
      <alignment horizontal="center" vertical="center" wrapText="1"/>
    </xf>
    <xf numFmtId="0" fontId="3" fillId="0" borderId="22" xfId="0" applyFont="1" applyBorder="1"/>
    <xf numFmtId="0" fontId="3" fillId="0" borderId="37" xfId="0" applyFont="1" applyBorder="1"/>
    <xf numFmtId="0" fontId="5" fillId="6" borderId="17" xfId="0" applyFont="1" applyFill="1" applyBorder="1" applyAlignment="1">
      <alignment horizontal="center" vertical="center"/>
    </xf>
    <xf numFmtId="0" fontId="3" fillId="0" borderId="18" xfId="0" applyFont="1" applyBorder="1"/>
    <xf numFmtId="0" fontId="3" fillId="0" borderId="19" xfId="0" applyFont="1" applyBorder="1"/>
    <xf numFmtId="0" fontId="5" fillId="6" borderId="30" xfId="0" applyFont="1" applyFill="1" applyBorder="1" applyAlignment="1">
      <alignment horizontal="center" vertical="center" wrapText="1"/>
    </xf>
    <xf numFmtId="0" fontId="3" fillId="0" borderId="33" xfId="0" applyFont="1" applyBorder="1"/>
    <xf numFmtId="0" fontId="5" fillId="6" borderId="31" xfId="0" applyFont="1" applyFill="1" applyBorder="1" applyAlignment="1">
      <alignment horizontal="center" vertical="center"/>
    </xf>
    <xf numFmtId="0" fontId="3" fillId="0" borderId="52" xfId="0" applyFont="1" applyBorder="1"/>
    <xf numFmtId="0" fontId="5" fillId="0" borderId="21" xfId="0" applyFont="1" applyBorder="1" applyAlignment="1">
      <alignment horizontal="center"/>
    </xf>
    <xf numFmtId="0" fontId="6" fillId="5" borderId="21" xfId="0" applyFont="1" applyFill="1" applyBorder="1" applyAlignment="1">
      <alignment horizontal="left" vertical="center"/>
    </xf>
    <xf numFmtId="164" fontId="6" fillId="6" borderId="9" xfId="0" applyNumberFormat="1" applyFont="1" applyFill="1" applyBorder="1" applyAlignment="1">
      <alignment horizontal="center" vertical="center"/>
    </xf>
    <xf numFmtId="0" fontId="3" fillId="0" borderId="16" xfId="0" applyFont="1" applyBorder="1"/>
    <xf numFmtId="164" fontId="6" fillId="8" borderId="9" xfId="0" applyNumberFormat="1" applyFont="1" applyFill="1" applyBorder="1" applyAlignment="1">
      <alignment horizontal="left" vertical="center"/>
    </xf>
    <xf numFmtId="0" fontId="6" fillId="5" borderId="50" xfId="0" applyFont="1" applyFill="1" applyBorder="1" applyAlignment="1">
      <alignment horizontal="center" vertical="center"/>
    </xf>
    <xf numFmtId="0" fontId="3" fillId="0" borderId="51" xfId="0" applyFont="1" applyBorder="1"/>
    <xf numFmtId="0" fontId="13" fillId="7" borderId="15" xfId="0" applyFont="1" applyFill="1" applyBorder="1" applyAlignment="1">
      <alignment horizontal="center" vertical="center"/>
    </xf>
    <xf numFmtId="49" fontId="6" fillId="0" borderId="21" xfId="0" applyNumberFormat="1" applyFont="1" applyBorder="1" applyAlignment="1">
      <alignment horizontal="left" vertical="center"/>
    </xf>
    <xf numFmtId="0" fontId="10" fillId="6" borderId="9" xfId="0" applyFont="1" applyFill="1" applyBorder="1" applyAlignment="1">
      <alignment horizontal="right" vertical="center"/>
    </xf>
    <xf numFmtId="49" fontId="6" fillId="5" borderId="21" xfId="0" applyNumberFormat="1" applyFont="1" applyFill="1" applyBorder="1" applyAlignment="1">
      <alignment horizontal="center" vertical="center" wrapText="1"/>
    </xf>
    <xf numFmtId="0" fontId="4" fillId="5" borderId="21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vertical="top" wrapText="1"/>
    </xf>
    <xf numFmtId="0" fontId="3" fillId="0" borderId="42" xfId="0" applyFont="1" applyBorder="1"/>
    <xf numFmtId="0" fontId="0" fillId="0" borderId="0" xfId="0" applyFont="1" applyAlignment="1"/>
    <xf numFmtId="0" fontId="3" fillId="0" borderId="44" xfId="0" applyFont="1" applyBorder="1"/>
    <xf numFmtId="0" fontId="5" fillId="6" borderId="38" xfId="0" applyFont="1" applyFill="1" applyBorder="1" applyAlignment="1">
      <alignment horizontal="center" vertical="center" wrapText="1"/>
    </xf>
    <xf numFmtId="0" fontId="3" fillId="0" borderId="39" xfId="0" applyFont="1" applyBorder="1"/>
    <xf numFmtId="0" fontId="3" fillId="0" borderId="40" xfId="0" applyFont="1" applyBorder="1"/>
    <xf numFmtId="0" fontId="3" fillId="0" borderId="41" xfId="0" applyFont="1" applyBorder="1"/>
    <xf numFmtId="0" fontId="3" fillId="0" borderId="43" xfId="0" applyFont="1" applyBorder="1"/>
    <xf numFmtId="0" fontId="3" fillId="0" borderId="45" xfId="0" applyFont="1" applyBorder="1"/>
    <xf numFmtId="0" fontId="6" fillId="8" borderId="21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horizontal="center" vertical="center"/>
    </xf>
    <xf numFmtId="0" fontId="14" fillId="6" borderId="24" xfId="0" applyFont="1" applyFill="1" applyBorder="1" applyAlignment="1">
      <alignment horizontal="center" wrapText="1"/>
    </xf>
    <xf numFmtId="49" fontId="6" fillId="8" borderId="21" xfId="0" applyNumberFormat="1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49" fontId="6" fillId="8" borderId="21" xfId="0" applyNumberFormat="1" applyFont="1" applyFill="1" applyBorder="1" applyAlignment="1">
      <alignment horizontal="left" vertical="center"/>
    </xf>
    <xf numFmtId="0" fontId="11" fillId="6" borderId="9" xfId="0" applyFont="1" applyFill="1" applyBorder="1" applyAlignment="1">
      <alignment horizontal="right" wrapText="1"/>
    </xf>
    <xf numFmtId="14" fontId="6" fillId="0" borderId="21" xfId="0" applyNumberFormat="1" applyFont="1" applyBorder="1" applyAlignment="1">
      <alignment horizontal="left" vertical="center"/>
    </xf>
    <xf numFmtId="0" fontId="5" fillId="6" borderId="21" xfId="0" applyFont="1" applyFill="1" applyBorder="1" applyAlignment="1">
      <alignment horizontal="center" vertical="center"/>
    </xf>
    <xf numFmtId="4" fontId="6" fillId="5" borderId="9" xfId="0" applyNumberFormat="1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 wrapText="1"/>
    </xf>
    <xf numFmtId="4" fontId="6" fillId="5" borderId="9" xfId="0" applyNumberFormat="1" applyFont="1" applyFill="1" applyBorder="1" applyAlignment="1">
      <alignment horizontal="left" vertical="center"/>
    </xf>
    <xf numFmtId="0" fontId="5" fillId="5" borderId="21" xfId="0" applyFont="1" applyFill="1" applyBorder="1" applyAlignment="1">
      <alignment horizontal="center" vertical="center" wrapText="1"/>
    </xf>
    <xf numFmtId="49" fontId="6" fillId="5" borderId="38" xfId="0" applyNumberFormat="1" applyFont="1" applyFill="1" applyBorder="1" applyAlignment="1">
      <alignment horizontal="center" vertical="center" wrapText="1"/>
    </xf>
    <xf numFmtId="0" fontId="5" fillId="9" borderId="17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4" fontId="6" fillId="5" borderId="38" xfId="0" applyNumberFormat="1" applyFont="1" applyFill="1" applyBorder="1" applyAlignment="1">
      <alignment horizontal="center" vertical="center"/>
    </xf>
    <xf numFmtId="0" fontId="5" fillId="5" borderId="31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 wrapText="1"/>
    </xf>
    <xf numFmtId="22" fontId="20" fillId="5" borderId="17" xfId="0" applyNumberFormat="1" applyFont="1" applyFill="1" applyBorder="1" applyAlignment="1">
      <alignment horizontal="right" vertical="center"/>
    </xf>
    <xf numFmtId="49" fontId="6" fillId="5" borderId="9" xfId="0" applyNumberFormat="1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/>
    </xf>
    <xf numFmtId="1" fontId="6" fillId="5" borderId="31" xfId="0" applyNumberFormat="1" applyFont="1" applyFill="1" applyBorder="1" applyAlignment="1">
      <alignment horizontal="left" vertical="top" wrapText="1"/>
    </xf>
    <xf numFmtId="0" fontId="3" fillId="0" borderId="53" xfId="0" applyFont="1" applyBorder="1"/>
    <xf numFmtId="0" fontId="3" fillId="0" borderId="54" xfId="0" applyFont="1" applyBorder="1"/>
    <xf numFmtId="164" fontId="6" fillId="5" borderId="9" xfId="0" applyNumberFormat="1" applyFont="1" applyFill="1" applyBorder="1" applyAlignment="1">
      <alignment horizontal="left" vertical="center"/>
    </xf>
    <xf numFmtId="0" fontId="16" fillId="5" borderId="56" xfId="0" applyFont="1" applyFill="1" applyBorder="1" applyAlignment="1">
      <alignment horizontal="center" vertical="center"/>
    </xf>
    <xf numFmtId="0" fontId="3" fillId="0" borderId="57" xfId="0" applyFont="1" applyBorder="1"/>
    <xf numFmtId="0" fontId="3" fillId="0" borderId="59" xfId="0" applyFont="1" applyBorder="1"/>
    <xf numFmtId="0" fontId="16" fillId="5" borderId="9" xfId="0" applyFont="1" applyFill="1" applyBorder="1" applyAlignment="1">
      <alignment horizontal="right" vertical="center"/>
    </xf>
    <xf numFmtId="0" fontId="6" fillId="6" borderId="9" xfId="0" applyFont="1" applyFill="1" applyBorder="1" applyAlignment="1">
      <alignment horizontal="left" vertical="center"/>
    </xf>
    <xf numFmtId="0" fontId="13" fillId="10" borderId="15" xfId="0" applyFont="1" applyFill="1" applyBorder="1" applyAlignment="1">
      <alignment horizontal="left" vertical="center"/>
    </xf>
    <xf numFmtId="0" fontId="13" fillId="10" borderId="15" xfId="0" applyFont="1" applyFill="1" applyBorder="1" applyAlignment="1">
      <alignment horizontal="center" vertical="center"/>
    </xf>
    <xf numFmtId="4" fontId="24" fillId="5" borderId="21" xfId="0" applyNumberFormat="1" applyFont="1" applyFill="1" applyBorder="1" applyAlignment="1">
      <alignment horizontal="center" vertical="center"/>
    </xf>
    <xf numFmtId="0" fontId="13" fillId="10" borderId="9" xfId="0" applyFont="1" applyFill="1" applyBorder="1" applyAlignment="1">
      <alignment horizontal="center" vertical="center"/>
    </xf>
    <xf numFmtId="0" fontId="3" fillId="0" borderId="62" xfId="0" applyFont="1" applyBorder="1"/>
    <xf numFmtId="0" fontId="4" fillId="5" borderId="9" xfId="0" applyFont="1" applyFill="1" applyBorder="1" applyAlignment="1">
      <alignment horizontal="left" vertical="center"/>
    </xf>
    <xf numFmtId="0" fontId="29" fillId="5" borderId="21" xfId="0" applyFont="1" applyFill="1" applyBorder="1" applyAlignment="1">
      <alignment horizontal="center" vertical="center"/>
    </xf>
    <xf numFmtId="0" fontId="30" fillId="5" borderId="9" xfId="0" applyFont="1" applyFill="1" applyBorder="1" applyAlignment="1">
      <alignment horizontal="left" vertical="center"/>
    </xf>
    <xf numFmtId="0" fontId="4" fillId="5" borderId="65" xfId="0" applyFont="1" applyFill="1" applyBorder="1" applyAlignment="1">
      <alignment horizontal="left" vertical="center"/>
    </xf>
    <xf numFmtId="0" fontId="3" fillId="0" borderId="66" xfId="0" applyFont="1" applyBorder="1"/>
    <xf numFmtId="0" fontId="13" fillId="7" borderId="9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0" fontId="30" fillId="5" borderId="21" xfId="0" applyFont="1" applyFill="1" applyBorder="1" applyAlignment="1">
      <alignment horizontal="left" vertical="center"/>
    </xf>
    <xf numFmtId="0" fontId="21" fillId="5" borderId="21" xfId="0" applyFont="1" applyFill="1" applyBorder="1" applyAlignment="1">
      <alignment horizontal="center" vertical="center"/>
    </xf>
    <xf numFmtId="0" fontId="30" fillId="5" borderId="65" xfId="0" applyFont="1" applyFill="1" applyBorder="1" applyAlignment="1">
      <alignment horizontal="left" vertical="center"/>
    </xf>
    <xf numFmtId="0" fontId="19" fillId="0" borderId="21" xfId="0" applyFont="1" applyBorder="1" applyAlignment="1">
      <alignment horizontal="left" wrapText="1"/>
    </xf>
  </cellXfs>
  <cellStyles count="1">
    <cellStyle name="Normal" xfId="0" builtinId="0"/>
  </cellStyles>
  <dxfs count="50"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1.21875" defaultRowHeight="15" customHeight="1" x14ac:dyDescent="0.2"/>
  <cols>
    <col min="1" max="1" width="12.21875" customWidth="1"/>
    <col min="2" max="2" width="5.5546875" customWidth="1"/>
    <col min="3" max="3" width="18.77734375" customWidth="1"/>
    <col min="4" max="4" width="43.109375" customWidth="1"/>
    <col min="5" max="5" width="7.77734375" customWidth="1"/>
    <col min="6" max="6" width="6.77734375" customWidth="1"/>
    <col min="7" max="7" width="6.77734375" hidden="1" customWidth="1"/>
    <col min="8" max="17" width="6.77734375" customWidth="1"/>
    <col min="18" max="26" width="8" customWidth="1"/>
  </cols>
  <sheetData>
    <row r="1" spans="1:26" ht="15.75" x14ac:dyDescent="0.25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36.75" customHeight="1" x14ac:dyDescent="0.25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 x14ac:dyDescent="0.3">
      <c r="A3" s="1"/>
      <c r="B3" s="267" t="s">
        <v>0</v>
      </c>
      <c r="C3" s="268"/>
      <c r="D3" s="268"/>
      <c r="E3" s="269"/>
      <c r="F3" s="3"/>
      <c r="G3" s="4">
        <v>0</v>
      </c>
      <c r="H3" s="3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1.25" customHeight="1" x14ac:dyDescent="0.3">
      <c r="A4" s="1"/>
      <c r="B4" s="270"/>
      <c r="C4" s="271"/>
      <c r="D4" s="271"/>
      <c r="E4" s="272"/>
      <c r="F4" s="3"/>
      <c r="G4" s="3"/>
      <c r="H4" s="3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 x14ac:dyDescent="0.3">
      <c r="A5" s="1"/>
      <c r="B5" s="5"/>
      <c r="C5" s="273"/>
      <c r="D5" s="274"/>
      <c r="E5" s="6"/>
      <c r="F5" s="3"/>
      <c r="G5" s="3"/>
      <c r="H5" s="3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 x14ac:dyDescent="0.3">
      <c r="A6" s="1"/>
      <c r="B6" s="7"/>
      <c r="C6" s="273"/>
      <c r="D6" s="274"/>
      <c r="E6" s="8"/>
      <c r="F6" s="3"/>
      <c r="G6" s="3"/>
      <c r="H6" s="3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 x14ac:dyDescent="0.3">
      <c r="A7" s="1"/>
      <c r="B7" s="9"/>
      <c r="C7" s="273"/>
      <c r="D7" s="274"/>
      <c r="E7" s="10"/>
      <c r="F7" s="3"/>
      <c r="G7" s="3"/>
      <c r="H7" s="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 x14ac:dyDescent="0.3">
      <c r="A8" s="1"/>
      <c r="B8" s="7"/>
      <c r="C8" s="11"/>
      <c r="D8" s="11"/>
      <c r="E8" s="8"/>
      <c r="F8" s="3"/>
      <c r="G8" s="3"/>
      <c r="H8" s="3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 x14ac:dyDescent="0.3">
      <c r="A9" s="1"/>
      <c r="B9" s="12"/>
      <c r="C9" s="13"/>
      <c r="D9" s="13"/>
      <c r="E9" s="14">
        <v>42468</v>
      </c>
      <c r="F9" s="3"/>
      <c r="G9" s="3"/>
      <c r="H9" s="3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6.5" customHeight="1" x14ac:dyDescent="0.3">
      <c r="A10" s="1"/>
      <c r="B10" s="3"/>
      <c r="C10" s="3"/>
      <c r="D10" s="3"/>
      <c r="E10" s="3"/>
      <c r="F10" s="3"/>
      <c r="G10" s="3"/>
      <c r="H10" s="3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6.5" customHeight="1" x14ac:dyDescent="0.3">
      <c r="A11" s="1"/>
      <c r="B11" s="3"/>
      <c r="C11" s="3"/>
      <c r="D11" s="3"/>
      <c r="E11" s="3"/>
      <c r="F11" s="3"/>
      <c r="G11" s="3"/>
      <c r="H11" s="3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6.5" customHeight="1" x14ac:dyDescent="0.3">
      <c r="A12" s="1"/>
      <c r="B12" s="3"/>
      <c r="C12" s="3"/>
      <c r="D12" s="3"/>
      <c r="E12" s="3"/>
      <c r="F12" s="3"/>
      <c r="G12" s="3"/>
      <c r="H12" s="3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6.5" customHeight="1" x14ac:dyDescent="0.3">
      <c r="A13" s="1"/>
      <c r="B13" s="1"/>
      <c r="C13" s="1"/>
      <c r="D13" s="1"/>
      <c r="E13" s="1"/>
      <c r="F13" s="3"/>
      <c r="G13" s="1"/>
      <c r="H13" s="1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6.5" customHeight="1" x14ac:dyDescent="0.3">
      <c r="A14" s="1"/>
      <c r="B14" s="1"/>
      <c r="C14" s="1"/>
      <c r="D14" s="1"/>
      <c r="E14" s="1"/>
      <c r="F14" s="3"/>
      <c r="G14" s="1"/>
      <c r="H14" s="1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6.5" customHeight="1" x14ac:dyDescent="0.3">
      <c r="A15" s="1"/>
      <c r="B15" s="1"/>
      <c r="C15" s="1"/>
      <c r="D15" s="1"/>
      <c r="E15" s="1"/>
      <c r="F15" s="3"/>
      <c r="G15" s="1"/>
      <c r="H15" s="1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6.5" customHeight="1" x14ac:dyDescent="0.3">
      <c r="A16" s="1"/>
      <c r="B16" s="1"/>
      <c r="C16" s="1"/>
      <c r="D16" s="1"/>
      <c r="E16" s="1"/>
      <c r="F16" s="3"/>
      <c r="G16" s="1"/>
      <c r="H16" s="1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6.5" customHeight="1" x14ac:dyDescent="0.3">
      <c r="A17" s="1"/>
      <c r="B17" s="1"/>
      <c r="C17" s="1"/>
      <c r="D17" s="1"/>
      <c r="E17" s="1"/>
      <c r="F17" s="3"/>
      <c r="G17" s="1"/>
      <c r="H17" s="1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6.5" customHeight="1" x14ac:dyDescent="0.3">
      <c r="A18" s="1"/>
      <c r="B18" s="1"/>
      <c r="C18" s="1"/>
      <c r="D18" s="1"/>
      <c r="E18" s="1"/>
      <c r="F18" s="3"/>
      <c r="G18" s="1"/>
      <c r="H18" s="1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6.5" customHeight="1" x14ac:dyDescent="0.3">
      <c r="A19" s="1"/>
      <c r="B19" s="1"/>
      <c r="C19" s="1"/>
      <c r="D19" s="1"/>
      <c r="E19" s="1"/>
      <c r="F19" s="3"/>
      <c r="G19" s="1"/>
      <c r="H19" s="1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6.5" customHeight="1" x14ac:dyDescent="0.3">
      <c r="A20" s="1"/>
      <c r="B20" s="1"/>
      <c r="C20" s="1"/>
      <c r="D20" s="1"/>
      <c r="E20" s="1"/>
      <c r="F20" s="3"/>
      <c r="G20" s="1"/>
      <c r="H20" s="1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x14ac:dyDescent="0.25">
      <c r="A21" s="1"/>
      <c r="B21" s="1"/>
      <c r="C21" s="1"/>
      <c r="D21" s="1"/>
      <c r="E21" s="1"/>
      <c r="F21" s="1"/>
      <c r="G21" s="1"/>
      <c r="H21" s="1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x14ac:dyDescent="0.25">
      <c r="A22" s="1"/>
      <c r="B22" s="1"/>
      <c r="C22" s="1"/>
      <c r="D22" s="1"/>
      <c r="E22" s="1"/>
      <c r="F22" s="1"/>
      <c r="G22" s="1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x14ac:dyDescent="0.25">
      <c r="A23" s="1"/>
      <c r="B23" s="1"/>
      <c r="C23" s="1"/>
      <c r="D23" s="1"/>
      <c r="E23" s="1"/>
      <c r="F23" s="1"/>
      <c r="G23" s="1"/>
      <c r="H23" s="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x14ac:dyDescent="0.25">
      <c r="A24" s="1"/>
      <c r="B24" s="1"/>
      <c r="C24" s="1"/>
      <c r="D24" s="1"/>
      <c r="E24" s="1"/>
      <c r="F24" s="1"/>
      <c r="G24" s="1"/>
      <c r="H24" s="1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x14ac:dyDescent="0.25">
      <c r="A25" s="1"/>
      <c r="B25" s="1"/>
      <c r="C25" s="1"/>
      <c r="D25" s="1"/>
      <c r="E25" s="1"/>
      <c r="F25" s="1"/>
      <c r="G25" s="1"/>
      <c r="H25" s="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x14ac:dyDescent="0.25">
      <c r="A26" s="1"/>
      <c r="B26" s="1"/>
      <c r="C26" s="1"/>
      <c r="D26" s="1"/>
      <c r="E26" s="1"/>
      <c r="F26" s="1"/>
      <c r="G26" s="1"/>
      <c r="H26" s="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x14ac:dyDescent="0.25">
      <c r="A27" s="1"/>
      <c r="B27" s="1"/>
      <c r="C27" s="1"/>
      <c r="D27" s="1"/>
      <c r="E27" s="1"/>
      <c r="F27" s="1"/>
      <c r="G27" s="1"/>
      <c r="H27" s="1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x14ac:dyDescent="0.25">
      <c r="A28" s="1"/>
      <c r="B28" s="1"/>
      <c r="C28" s="1"/>
      <c r="D28" s="1"/>
      <c r="E28" s="1"/>
      <c r="F28" s="1"/>
      <c r="G28" s="1"/>
      <c r="H28" s="1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x14ac:dyDescent="0.25">
      <c r="A29" s="1"/>
      <c r="B29" s="1"/>
      <c r="C29" s="1"/>
      <c r="D29" s="1"/>
      <c r="E29" s="1"/>
      <c r="F29" s="1"/>
      <c r="G29" s="1"/>
      <c r="H29" s="1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x14ac:dyDescent="0.25">
      <c r="A30" s="1"/>
      <c r="B30" s="1"/>
      <c r="C30" s="1"/>
      <c r="D30" s="1"/>
      <c r="E30" s="1"/>
      <c r="F30" s="1"/>
      <c r="G30" s="1"/>
      <c r="H30" s="1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x14ac:dyDescent="0.25">
      <c r="A31" s="1"/>
      <c r="B31" s="1"/>
      <c r="C31" s="1"/>
      <c r="D31" s="1"/>
      <c r="E31" s="1"/>
      <c r="F31" s="1"/>
      <c r="G31" s="1"/>
      <c r="H31" s="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x14ac:dyDescent="0.25">
      <c r="A32" s="1"/>
      <c r="B32" s="1"/>
      <c r="C32" s="1"/>
      <c r="D32" s="1"/>
      <c r="E32" s="1"/>
      <c r="F32" s="1"/>
      <c r="G32" s="1"/>
      <c r="H32" s="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x14ac:dyDescent="0.25">
      <c r="A33" s="1"/>
      <c r="B33" s="1"/>
      <c r="C33" s="1"/>
      <c r="D33" s="1"/>
      <c r="E33" s="1"/>
      <c r="F33" s="1"/>
      <c r="G33" s="1"/>
      <c r="H33" s="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x14ac:dyDescent="0.25">
      <c r="A34" s="1"/>
      <c r="B34" s="1"/>
      <c r="C34" s="1"/>
      <c r="D34" s="1"/>
      <c r="E34" s="1"/>
      <c r="F34" s="1"/>
      <c r="G34" s="1"/>
      <c r="H34" s="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x14ac:dyDescent="0.25">
      <c r="A35" s="1"/>
      <c r="B35" s="1"/>
      <c r="C35" s="1"/>
      <c r="D35" s="1"/>
      <c r="E35" s="1"/>
      <c r="F35" s="1"/>
      <c r="G35" s="1"/>
      <c r="H35" s="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x14ac:dyDescent="0.25">
      <c r="A36" s="1"/>
      <c r="B36" s="1"/>
      <c r="C36" s="1"/>
      <c r="D36" s="1"/>
      <c r="E36" s="1"/>
      <c r="F36" s="1"/>
      <c r="G36" s="1"/>
      <c r="H36" s="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x14ac:dyDescent="0.25">
      <c r="A37" s="1"/>
      <c r="B37" s="1"/>
      <c r="C37" s="1"/>
      <c r="D37" s="1"/>
      <c r="E37" s="1"/>
      <c r="F37" s="1"/>
      <c r="G37" s="1"/>
      <c r="H37" s="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x14ac:dyDescent="0.25">
      <c r="A38" s="1"/>
      <c r="B38" s="1"/>
      <c r="C38" s="1"/>
      <c r="D38" s="1"/>
      <c r="E38" s="1"/>
      <c r="F38" s="1"/>
      <c r="G38" s="1"/>
      <c r="H38" s="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x14ac:dyDescent="0.25">
      <c r="A39" s="1"/>
      <c r="B39" s="1"/>
      <c r="C39" s="1"/>
      <c r="D39" s="1"/>
      <c r="E39" s="1"/>
      <c r="F39" s="1"/>
      <c r="G39" s="1"/>
      <c r="H39" s="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x14ac:dyDescent="0.25">
      <c r="A40" s="1"/>
      <c r="B40" s="1"/>
      <c r="C40" s="1"/>
      <c r="D40" s="1"/>
      <c r="E40" s="1"/>
      <c r="F40" s="1"/>
      <c r="G40" s="1"/>
      <c r="H40" s="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x14ac:dyDescent="0.25">
      <c r="A41" s="1"/>
      <c r="B41" s="1"/>
      <c r="C41" s="1"/>
      <c r="D41" s="1"/>
      <c r="E41" s="1"/>
      <c r="F41" s="1"/>
      <c r="G41" s="1"/>
      <c r="H41" s="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x14ac:dyDescent="0.25">
      <c r="A42" s="1"/>
      <c r="B42" s="1"/>
      <c r="C42" s="1"/>
      <c r="D42" s="1"/>
      <c r="E42" s="1"/>
      <c r="F42" s="1"/>
      <c r="G42" s="1"/>
      <c r="H42" s="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x14ac:dyDescent="0.25">
      <c r="A43" s="1"/>
      <c r="B43" s="1"/>
      <c r="C43" s="1"/>
      <c r="D43" s="1"/>
      <c r="E43" s="1"/>
      <c r="F43" s="1"/>
      <c r="G43" s="1"/>
      <c r="H43" s="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x14ac:dyDescent="0.25">
      <c r="A44" s="1"/>
      <c r="B44" s="1"/>
      <c r="C44" s="1"/>
      <c r="D44" s="1"/>
      <c r="E44" s="1"/>
      <c r="F44" s="1"/>
      <c r="G44" s="1"/>
      <c r="H44" s="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x14ac:dyDescent="0.25">
      <c r="A45" s="1"/>
      <c r="B45" s="1"/>
      <c r="C45" s="1"/>
      <c r="D45" s="1"/>
      <c r="E45" s="1"/>
      <c r="F45" s="1"/>
      <c r="G45" s="1"/>
      <c r="H45" s="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x14ac:dyDescent="0.25">
      <c r="A46" s="1"/>
      <c r="B46" s="1"/>
      <c r="C46" s="1"/>
      <c r="D46" s="1"/>
      <c r="E46" s="1"/>
      <c r="F46" s="1"/>
      <c r="G46" s="1"/>
      <c r="H46" s="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x14ac:dyDescent="0.25">
      <c r="A47" s="1"/>
      <c r="B47" s="1"/>
      <c r="C47" s="1"/>
      <c r="D47" s="1"/>
      <c r="E47" s="1"/>
      <c r="F47" s="1"/>
      <c r="G47" s="1"/>
      <c r="H47" s="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x14ac:dyDescent="0.25">
      <c r="A48" s="1"/>
      <c r="B48" s="1"/>
      <c r="C48" s="1"/>
      <c r="D48" s="1"/>
      <c r="E48" s="1"/>
      <c r="F48" s="1"/>
      <c r="G48" s="1"/>
      <c r="H48" s="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x14ac:dyDescent="0.25">
      <c r="A49" s="1"/>
      <c r="B49" s="1"/>
      <c r="C49" s="1"/>
      <c r="D49" s="1"/>
      <c r="E49" s="1"/>
      <c r="F49" s="1"/>
      <c r="G49" s="1"/>
      <c r="H49" s="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x14ac:dyDescent="0.25">
      <c r="A50" s="1"/>
      <c r="B50" s="1"/>
      <c r="C50" s="1"/>
      <c r="D50" s="1"/>
      <c r="E50" s="1"/>
      <c r="F50" s="1"/>
      <c r="G50" s="1"/>
      <c r="H50" s="1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x14ac:dyDescent="0.25">
      <c r="A51" s="1"/>
      <c r="B51" s="1"/>
      <c r="C51" s="1"/>
      <c r="D51" s="1"/>
      <c r="E51" s="1"/>
      <c r="F51" s="1"/>
      <c r="G51" s="1"/>
      <c r="H51" s="1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x14ac:dyDescent="0.25">
      <c r="A52" s="1"/>
      <c r="B52" s="1"/>
      <c r="C52" s="1"/>
      <c r="D52" s="1"/>
      <c r="E52" s="1"/>
      <c r="F52" s="1"/>
      <c r="G52" s="1"/>
      <c r="H52" s="1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x14ac:dyDescent="0.25">
      <c r="A53" s="1"/>
      <c r="B53" s="1"/>
      <c r="C53" s="1"/>
      <c r="D53" s="1"/>
      <c r="E53" s="1"/>
      <c r="F53" s="1"/>
      <c r="G53" s="1"/>
      <c r="H53" s="1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x14ac:dyDescent="0.25">
      <c r="A54" s="1"/>
      <c r="B54" s="1"/>
      <c r="C54" s="1"/>
      <c r="D54" s="1"/>
      <c r="E54" s="1"/>
      <c r="F54" s="1"/>
      <c r="G54" s="1"/>
      <c r="H54" s="1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x14ac:dyDescent="0.25">
      <c r="A55" s="1"/>
      <c r="B55" s="1"/>
      <c r="C55" s="1"/>
      <c r="D55" s="1"/>
      <c r="E55" s="1"/>
      <c r="F55" s="1"/>
      <c r="G55" s="1"/>
      <c r="H55" s="1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x14ac:dyDescent="0.25">
      <c r="A56" s="1"/>
      <c r="B56" s="1"/>
      <c r="C56" s="1"/>
      <c r="D56" s="1"/>
      <c r="E56" s="1"/>
      <c r="F56" s="1"/>
      <c r="G56" s="1"/>
      <c r="H56" s="1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x14ac:dyDescent="0.25">
      <c r="A57" s="1"/>
      <c r="B57" s="1"/>
      <c r="C57" s="1"/>
      <c r="D57" s="1"/>
      <c r="E57" s="1"/>
      <c r="F57" s="1"/>
      <c r="G57" s="1"/>
      <c r="H57" s="1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x14ac:dyDescent="0.25">
      <c r="A58" s="1"/>
      <c r="B58" s="1"/>
      <c r="C58" s="1"/>
      <c r="D58" s="1"/>
      <c r="E58" s="1"/>
      <c r="F58" s="1"/>
      <c r="G58" s="1"/>
      <c r="H58" s="1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x14ac:dyDescent="0.25">
      <c r="A59" s="1"/>
      <c r="B59" s="1"/>
      <c r="C59" s="1"/>
      <c r="D59" s="1"/>
      <c r="E59" s="1"/>
      <c r="F59" s="1"/>
      <c r="G59" s="1"/>
      <c r="H59" s="1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x14ac:dyDescent="0.25">
      <c r="A60" s="1"/>
      <c r="B60" s="1"/>
      <c r="C60" s="1"/>
      <c r="D60" s="1"/>
      <c r="E60" s="1"/>
      <c r="F60" s="1"/>
      <c r="G60" s="1"/>
      <c r="H60" s="1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x14ac:dyDescent="0.25">
      <c r="A61" s="1"/>
      <c r="B61" s="1"/>
      <c r="C61" s="1"/>
      <c r="D61" s="1"/>
      <c r="E61" s="1"/>
      <c r="F61" s="1"/>
      <c r="G61" s="1"/>
      <c r="H61" s="1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x14ac:dyDescent="0.25">
      <c r="A62" s="1"/>
      <c r="B62" s="1"/>
      <c r="C62" s="1"/>
      <c r="D62" s="1"/>
      <c r="E62" s="1"/>
      <c r="F62" s="1"/>
      <c r="G62" s="1"/>
      <c r="H62" s="1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x14ac:dyDescent="0.25">
      <c r="A63" s="1"/>
      <c r="B63" s="1"/>
      <c r="C63" s="1"/>
      <c r="D63" s="1"/>
      <c r="E63" s="1"/>
      <c r="F63" s="1"/>
      <c r="G63" s="1"/>
      <c r="H63" s="1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x14ac:dyDescent="0.25">
      <c r="A64" s="1"/>
      <c r="B64" s="1"/>
      <c r="C64" s="1"/>
      <c r="D64" s="1"/>
      <c r="E64" s="1"/>
      <c r="F64" s="1"/>
      <c r="G64" s="1"/>
      <c r="H64" s="1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x14ac:dyDescent="0.25">
      <c r="A65" s="1"/>
      <c r="B65" s="1"/>
      <c r="C65" s="1"/>
      <c r="D65" s="1"/>
      <c r="E65" s="1"/>
      <c r="F65" s="1"/>
      <c r="G65" s="1"/>
      <c r="H65" s="1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x14ac:dyDescent="0.25">
      <c r="A66" s="1"/>
      <c r="B66" s="1"/>
      <c r="C66" s="1"/>
      <c r="D66" s="1"/>
      <c r="E66" s="1"/>
      <c r="F66" s="1"/>
      <c r="G66" s="1"/>
      <c r="H66" s="1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x14ac:dyDescent="0.25">
      <c r="A67" s="1"/>
      <c r="B67" s="1"/>
      <c r="C67" s="1"/>
      <c r="D67" s="1"/>
      <c r="E67" s="1"/>
      <c r="F67" s="1"/>
      <c r="G67" s="1"/>
      <c r="H67" s="1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x14ac:dyDescent="0.25">
      <c r="A68" s="1"/>
      <c r="B68" s="1"/>
      <c r="C68" s="1"/>
      <c r="D68" s="1"/>
      <c r="E68" s="1"/>
      <c r="F68" s="1"/>
      <c r="G68" s="1"/>
      <c r="H68" s="1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x14ac:dyDescent="0.25">
      <c r="A69" s="1"/>
      <c r="B69" s="1"/>
      <c r="C69" s="1"/>
      <c r="D69" s="1"/>
      <c r="E69" s="1"/>
      <c r="F69" s="1"/>
      <c r="G69" s="1"/>
      <c r="H69" s="1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x14ac:dyDescent="0.25">
      <c r="A70" s="1"/>
      <c r="B70" s="1"/>
      <c r="C70" s="1"/>
      <c r="D70" s="1"/>
      <c r="E70" s="1"/>
      <c r="F70" s="1"/>
      <c r="G70" s="1"/>
      <c r="H70" s="1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x14ac:dyDescent="0.25">
      <c r="A71" s="1"/>
      <c r="B71" s="1"/>
      <c r="C71" s="1"/>
      <c r="D71" s="1"/>
      <c r="E71" s="1"/>
      <c r="F71" s="1"/>
      <c r="G71" s="1"/>
      <c r="H71" s="1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x14ac:dyDescent="0.25">
      <c r="A72" s="1"/>
      <c r="B72" s="1"/>
      <c r="C72" s="1"/>
      <c r="D72" s="1"/>
      <c r="E72" s="1"/>
      <c r="F72" s="1"/>
      <c r="G72" s="1"/>
      <c r="H72" s="1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x14ac:dyDescent="0.25">
      <c r="A73" s="1"/>
      <c r="B73" s="1"/>
      <c r="C73" s="1"/>
      <c r="D73" s="1"/>
      <c r="E73" s="1"/>
      <c r="F73" s="1"/>
      <c r="G73" s="1"/>
      <c r="H73" s="1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x14ac:dyDescent="0.25">
      <c r="A74" s="1"/>
      <c r="B74" s="1"/>
      <c r="C74" s="1"/>
      <c r="D74" s="1"/>
      <c r="E74" s="1"/>
      <c r="F74" s="1"/>
      <c r="G74" s="1"/>
      <c r="H74" s="1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x14ac:dyDescent="0.25">
      <c r="A75" s="1"/>
      <c r="B75" s="1"/>
      <c r="C75" s="1"/>
      <c r="D75" s="1"/>
      <c r="E75" s="1"/>
      <c r="F75" s="1"/>
      <c r="G75" s="1"/>
      <c r="H75" s="1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x14ac:dyDescent="0.25">
      <c r="A76" s="1"/>
      <c r="B76" s="1"/>
      <c r="C76" s="1"/>
      <c r="D76" s="1"/>
      <c r="E76" s="1"/>
      <c r="F76" s="1"/>
      <c r="G76" s="1"/>
      <c r="H76" s="1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x14ac:dyDescent="0.25">
      <c r="A77" s="1"/>
      <c r="B77" s="1"/>
      <c r="C77" s="1"/>
      <c r="D77" s="1"/>
      <c r="E77" s="1"/>
      <c r="F77" s="1"/>
      <c r="G77" s="1"/>
      <c r="H77" s="1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x14ac:dyDescent="0.25">
      <c r="A78" s="1"/>
      <c r="B78" s="1"/>
      <c r="C78" s="1"/>
      <c r="D78" s="1"/>
      <c r="E78" s="1"/>
      <c r="F78" s="1"/>
      <c r="G78" s="1"/>
      <c r="H78" s="1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x14ac:dyDescent="0.25">
      <c r="A79" s="1"/>
      <c r="B79" s="1"/>
      <c r="C79" s="1"/>
      <c r="D79" s="1"/>
      <c r="E79" s="1"/>
      <c r="F79" s="1"/>
      <c r="G79" s="1"/>
      <c r="H79" s="1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x14ac:dyDescent="0.25">
      <c r="A80" s="1"/>
      <c r="B80" s="1"/>
      <c r="C80" s="1"/>
      <c r="D80" s="1"/>
      <c r="E80" s="1"/>
      <c r="F80" s="1"/>
      <c r="G80" s="1"/>
      <c r="H80" s="1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x14ac:dyDescent="0.25">
      <c r="A81" s="1"/>
      <c r="B81" s="1"/>
      <c r="C81" s="1"/>
      <c r="D81" s="1"/>
      <c r="E81" s="1"/>
      <c r="F81" s="1"/>
      <c r="G81" s="1"/>
      <c r="H81" s="1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x14ac:dyDescent="0.25">
      <c r="A82" s="1"/>
      <c r="B82" s="1"/>
      <c r="C82" s="1"/>
      <c r="D82" s="1"/>
      <c r="E82" s="1"/>
      <c r="F82" s="1"/>
      <c r="G82" s="1"/>
      <c r="H82" s="1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x14ac:dyDescent="0.25">
      <c r="A83" s="1"/>
      <c r="B83" s="1"/>
      <c r="C83" s="1"/>
      <c r="D83" s="1"/>
      <c r="E83" s="1"/>
      <c r="F83" s="1"/>
      <c r="G83" s="1"/>
      <c r="H83" s="1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x14ac:dyDescent="0.25">
      <c r="A84" s="1"/>
      <c r="B84" s="1"/>
      <c r="C84" s="1"/>
      <c r="D84" s="1"/>
      <c r="E84" s="1"/>
      <c r="F84" s="1"/>
      <c r="G84" s="1"/>
      <c r="H84" s="1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x14ac:dyDescent="0.25">
      <c r="A85" s="1"/>
      <c r="B85" s="1"/>
      <c r="C85" s="1"/>
      <c r="D85" s="1"/>
      <c r="E85" s="1"/>
      <c r="F85" s="1"/>
      <c r="G85" s="1"/>
      <c r="H85" s="1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x14ac:dyDescent="0.25">
      <c r="A86" s="1"/>
      <c r="B86" s="1"/>
      <c r="C86" s="1"/>
      <c r="D86" s="1"/>
      <c r="E86" s="1"/>
      <c r="F86" s="1"/>
      <c r="G86" s="1"/>
      <c r="H86" s="1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x14ac:dyDescent="0.25">
      <c r="A87" s="1"/>
      <c r="B87" s="1"/>
      <c r="C87" s="1"/>
      <c r="D87" s="1"/>
      <c r="E87" s="1"/>
      <c r="F87" s="1"/>
      <c r="G87" s="1"/>
      <c r="H87" s="1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x14ac:dyDescent="0.25">
      <c r="A88" s="1"/>
      <c r="B88" s="1"/>
      <c r="C88" s="1"/>
      <c r="D88" s="1"/>
      <c r="E88" s="1"/>
      <c r="F88" s="1"/>
      <c r="G88" s="1"/>
      <c r="H88" s="1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x14ac:dyDescent="0.25">
      <c r="A89" s="1"/>
      <c r="B89" s="1"/>
      <c r="C89" s="1"/>
      <c r="D89" s="1"/>
      <c r="E89" s="1"/>
      <c r="F89" s="1"/>
      <c r="G89" s="1"/>
      <c r="H89" s="1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x14ac:dyDescent="0.25">
      <c r="A90" s="1"/>
      <c r="B90" s="1"/>
      <c r="C90" s="1"/>
      <c r="D90" s="1"/>
      <c r="E90" s="1"/>
      <c r="F90" s="1"/>
      <c r="G90" s="1"/>
      <c r="H90" s="1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x14ac:dyDescent="0.25">
      <c r="A91" s="1"/>
      <c r="B91" s="1"/>
      <c r="C91" s="1"/>
      <c r="D91" s="1"/>
      <c r="E91" s="1"/>
      <c r="F91" s="1"/>
      <c r="G91" s="1"/>
      <c r="H91" s="1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x14ac:dyDescent="0.25">
      <c r="A92" s="1"/>
      <c r="B92" s="1"/>
      <c r="C92" s="1"/>
      <c r="D92" s="1"/>
      <c r="E92" s="1"/>
      <c r="F92" s="1"/>
      <c r="G92" s="1"/>
      <c r="H92" s="1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x14ac:dyDescent="0.25">
      <c r="A93" s="1"/>
      <c r="B93" s="1"/>
      <c r="C93" s="1"/>
      <c r="D93" s="1"/>
      <c r="E93" s="1"/>
      <c r="F93" s="1"/>
      <c r="G93" s="1"/>
      <c r="H93" s="1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x14ac:dyDescent="0.25">
      <c r="A94" s="1"/>
      <c r="B94" s="1"/>
      <c r="C94" s="1"/>
      <c r="D94" s="1"/>
      <c r="E94" s="1"/>
      <c r="F94" s="1"/>
      <c r="G94" s="1"/>
      <c r="H94" s="1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x14ac:dyDescent="0.25">
      <c r="A95" s="1"/>
      <c r="B95" s="1"/>
      <c r="C95" s="1"/>
      <c r="D95" s="1"/>
      <c r="E95" s="1"/>
      <c r="F95" s="1"/>
      <c r="G95" s="1"/>
      <c r="H95" s="1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x14ac:dyDescent="0.25">
      <c r="A96" s="1"/>
      <c r="B96" s="1"/>
      <c r="C96" s="1"/>
      <c r="D96" s="1"/>
      <c r="E96" s="1"/>
      <c r="F96" s="1"/>
      <c r="G96" s="1"/>
      <c r="H96" s="1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x14ac:dyDescent="0.25">
      <c r="A97" s="1"/>
      <c r="B97" s="1"/>
      <c r="C97" s="1"/>
      <c r="D97" s="1"/>
      <c r="E97" s="1"/>
      <c r="F97" s="1"/>
      <c r="G97" s="1"/>
      <c r="H97" s="1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x14ac:dyDescent="0.25">
      <c r="A98" s="1"/>
      <c r="B98" s="1"/>
      <c r="C98" s="1"/>
      <c r="D98" s="1"/>
      <c r="E98" s="1"/>
      <c r="F98" s="1"/>
      <c r="G98" s="1"/>
      <c r="H98" s="1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x14ac:dyDescent="0.25">
      <c r="A99" s="1"/>
      <c r="B99" s="1"/>
      <c r="C99" s="1"/>
      <c r="D99" s="1"/>
      <c r="E99" s="1"/>
      <c r="F99" s="1"/>
      <c r="G99" s="1"/>
      <c r="H99" s="1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x14ac:dyDescent="0.25">
      <c r="A253" s="1"/>
      <c r="B253" s="1"/>
      <c r="C253" s="1"/>
      <c r="D253" s="1"/>
      <c r="E253" s="1"/>
      <c r="F253" s="1"/>
      <c r="G253" s="1"/>
      <c r="H253" s="1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x14ac:dyDescent="0.25">
      <c r="A254" s="1"/>
      <c r="B254" s="1"/>
      <c r="C254" s="1"/>
      <c r="D254" s="1"/>
      <c r="E254" s="1"/>
      <c r="F254" s="1"/>
      <c r="G254" s="1"/>
      <c r="H254" s="1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x14ac:dyDescent="0.25">
      <c r="A255" s="1"/>
      <c r="B255" s="1"/>
      <c r="C255" s="1"/>
      <c r="D255" s="1"/>
      <c r="E255" s="1"/>
      <c r="F255" s="1"/>
      <c r="G255" s="1"/>
      <c r="H255" s="1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x14ac:dyDescent="0.25">
      <c r="A256" s="1"/>
      <c r="B256" s="1"/>
      <c r="C256" s="1"/>
      <c r="D256" s="1"/>
      <c r="E256" s="1"/>
      <c r="F256" s="1"/>
      <c r="G256" s="1"/>
      <c r="H256" s="1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x14ac:dyDescent="0.25">
      <c r="A257" s="1"/>
      <c r="B257" s="1"/>
      <c r="C257" s="1"/>
      <c r="D257" s="1"/>
      <c r="E257" s="1"/>
      <c r="F257" s="1"/>
      <c r="G257" s="1"/>
      <c r="H257" s="1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x14ac:dyDescent="0.25">
      <c r="A258" s="1"/>
      <c r="B258" s="1"/>
      <c r="C258" s="1"/>
      <c r="D258" s="1"/>
      <c r="E258" s="1"/>
      <c r="F258" s="1"/>
      <c r="G258" s="1"/>
      <c r="H258" s="1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x14ac:dyDescent="0.25">
      <c r="A259" s="1"/>
      <c r="B259" s="1"/>
      <c r="C259" s="1"/>
      <c r="D259" s="1"/>
      <c r="E259" s="1"/>
      <c r="F259" s="1"/>
      <c r="G259" s="1"/>
      <c r="H259" s="1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x14ac:dyDescent="0.25">
      <c r="A260" s="1"/>
      <c r="B260" s="1"/>
      <c r="C260" s="1"/>
      <c r="D260" s="1"/>
      <c r="E260" s="1"/>
      <c r="F260" s="1"/>
      <c r="G260" s="1"/>
      <c r="H260" s="1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x14ac:dyDescent="0.25">
      <c r="A261" s="1"/>
      <c r="B261" s="1"/>
      <c r="C261" s="1"/>
      <c r="D261" s="1"/>
      <c r="E261" s="1"/>
      <c r="F261" s="1"/>
      <c r="G261" s="1"/>
      <c r="H261" s="1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x14ac:dyDescent="0.25">
      <c r="A262" s="1"/>
      <c r="B262" s="1"/>
      <c r="C262" s="1"/>
      <c r="D262" s="1"/>
      <c r="E262" s="1"/>
      <c r="F262" s="1"/>
      <c r="G262" s="1"/>
      <c r="H262" s="1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x14ac:dyDescent="0.25">
      <c r="A263" s="1"/>
      <c r="B263" s="1"/>
      <c r="C263" s="1"/>
      <c r="D263" s="1"/>
      <c r="E263" s="1"/>
      <c r="F263" s="1"/>
      <c r="G263" s="1"/>
      <c r="H263" s="1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x14ac:dyDescent="0.25">
      <c r="A264" s="1"/>
      <c r="B264" s="1"/>
      <c r="C264" s="1"/>
      <c r="D264" s="1"/>
      <c r="E264" s="1"/>
      <c r="F264" s="1"/>
      <c r="G264" s="1"/>
      <c r="H264" s="1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x14ac:dyDescent="0.25">
      <c r="A265" s="1"/>
      <c r="B265" s="1"/>
      <c r="C265" s="1"/>
      <c r="D265" s="1"/>
      <c r="E265" s="1"/>
      <c r="F265" s="1"/>
      <c r="G265" s="1"/>
      <c r="H265" s="1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x14ac:dyDescent="0.25">
      <c r="A266" s="1"/>
      <c r="B266" s="1"/>
      <c r="C266" s="1"/>
      <c r="D266" s="1"/>
      <c r="E266" s="1"/>
      <c r="F266" s="1"/>
      <c r="G266" s="1"/>
      <c r="H266" s="1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x14ac:dyDescent="0.25">
      <c r="A267" s="1"/>
      <c r="B267" s="1"/>
      <c r="C267" s="1"/>
      <c r="D267" s="1"/>
      <c r="E267" s="1"/>
      <c r="F267" s="1"/>
      <c r="G267" s="1"/>
      <c r="H267" s="1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x14ac:dyDescent="0.25">
      <c r="A268" s="1"/>
      <c r="B268" s="1"/>
      <c r="C268" s="1"/>
      <c r="D268" s="1"/>
      <c r="E268" s="1"/>
      <c r="F268" s="1"/>
      <c r="G268" s="1"/>
      <c r="H268" s="1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x14ac:dyDescent="0.25">
      <c r="A269" s="1"/>
      <c r="B269" s="1"/>
      <c r="C269" s="1"/>
      <c r="D269" s="1"/>
      <c r="E269" s="1"/>
      <c r="F269" s="1"/>
      <c r="G269" s="1"/>
      <c r="H269" s="1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x14ac:dyDescent="0.25">
      <c r="A270" s="1"/>
      <c r="B270" s="1"/>
      <c r="C270" s="1"/>
      <c r="D270" s="1"/>
      <c r="E270" s="1"/>
      <c r="F270" s="1"/>
      <c r="G270" s="1"/>
      <c r="H270" s="1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x14ac:dyDescent="0.25">
      <c r="A271" s="1"/>
      <c r="B271" s="1"/>
      <c r="C271" s="1"/>
      <c r="D271" s="1"/>
      <c r="E271" s="1"/>
      <c r="F271" s="1"/>
      <c r="G271" s="1"/>
      <c r="H271" s="1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x14ac:dyDescent="0.25">
      <c r="A272" s="1"/>
      <c r="B272" s="1"/>
      <c r="C272" s="1"/>
      <c r="D272" s="1"/>
      <c r="E272" s="1"/>
      <c r="F272" s="1"/>
      <c r="G272" s="1"/>
      <c r="H272" s="1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x14ac:dyDescent="0.25">
      <c r="A273" s="1"/>
      <c r="B273" s="1"/>
      <c r="C273" s="1"/>
      <c r="D273" s="1"/>
      <c r="E273" s="1"/>
      <c r="F273" s="1"/>
      <c r="G273" s="1"/>
      <c r="H273" s="1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x14ac:dyDescent="0.25">
      <c r="A274" s="1"/>
      <c r="B274" s="1"/>
      <c r="C274" s="1"/>
      <c r="D274" s="1"/>
      <c r="E274" s="1"/>
      <c r="F274" s="1"/>
      <c r="G274" s="1"/>
      <c r="H274" s="1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x14ac:dyDescent="0.25">
      <c r="A275" s="1"/>
      <c r="B275" s="1"/>
      <c r="C275" s="1"/>
      <c r="D275" s="1"/>
      <c r="E275" s="1"/>
      <c r="F275" s="1"/>
      <c r="G275" s="1"/>
      <c r="H275" s="1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x14ac:dyDescent="0.25">
      <c r="A276" s="1"/>
      <c r="B276" s="1"/>
      <c r="C276" s="1"/>
      <c r="D276" s="1"/>
      <c r="E276" s="1"/>
      <c r="F276" s="1"/>
      <c r="G276" s="1"/>
      <c r="H276" s="1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x14ac:dyDescent="0.25">
      <c r="A277" s="1"/>
      <c r="B277" s="1"/>
      <c r="C277" s="1"/>
      <c r="D277" s="1"/>
      <c r="E277" s="1"/>
      <c r="F277" s="1"/>
      <c r="G277" s="1"/>
      <c r="H277" s="1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x14ac:dyDescent="0.25">
      <c r="A278" s="1"/>
      <c r="B278" s="1"/>
      <c r="C278" s="1"/>
      <c r="D278" s="1"/>
      <c r="E278" s="1"/>
      <c r="F278" s="1"/>
      <c r="G278" s="1"/>
      <c r="H278" s="1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x14ac:dyDescent="0.25">
      <c r="A279" s="1"/>
      <c r="B279" s="1"/>
      <c r="C279" s="1"/>
      <c r="D279" s="1"/>
      <c r="E279" s="1"/>
      <c r="F279" s="1"/>
      <c r="G279" s="1"/>
      <c r="H279" s="1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x14ac:dyDescent="0.25">
      <c r="A280" s="1"/>
      <c r="B280" s="1"/>
      <c r="C280" s="1"/>
      <c r="D280" s="1"/>
      <c r="E280" s="1"/>
      <c r="F280" s="1"/>
      <c r="G280" s="1"/>
      <c r="H280" s="1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x14ac:dyDescent="0.25">
      <c r="A281" s="1"/>
      <c r="B281" s="1"/>
      <c r="C281" s="1"/>
      <c r="D281" s="1"/>
      <c r="E281" s="1"/>
      <c r="F281" s="1"/>
      <c r="G281" s="1"/>
      <c r="H281" s="1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x14ac:dyDescent="0.25">
      <c r="A282" s="1"/>
      <c r="B282" s="1"/>
      <c r="C282" s="1"/>
      <c r="D282" s="1"/>
      <c r="E282" s="1"/>
      <c r="F282" s="1"/>
      <c r="G282" s="1"/>
      <c r="H282" s="1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x14ac:dyDescent="0.25">
      <c r="A283" s="1"/>
      <c r="B283" s="1"/>
      <c r="C283" s="1"/>
      <c r="D283" s="1"/>
      <c r="E283" s="1"/>
      <c r="F283" s="1"/>
      <c r="G283" s="1"/>
      <c r="H283" s="1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x14ac:dyDescent="0.25">
      <c r="A284" s="1"/>
      <c r="B284" s="1"/>
      <c r="C284" s="1"/>
      <c r="D284" s="1"/>
      <c r="E284" s="1"/>
      <c r="F284" s="1"/>
      <c r="G284" s="1"/>
      <c r="H284" s="1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x14ac:dyDescent="0.25">
      <c r="A285" s="1"/>
      <c r="B285" s="1"/>
      <c r="C285" s="1"/>
      <c r="D285" s="1"/>
      <c r="E285" s="1"/>
      <c r="F285" s="1"/>
      <c r="G285" s="1"/>
      <c r="H285" s="1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x14ac:dyDescent="0.25">
      <c r="A286" s="1"/>
      <c r="B286" s="1"/>
      <c r="C286" s="1"/>
      <c r="D286" s="1"/>
      <c r="E286" s="1"/>
      <c r="F286" s="1"/>
      <c r="G286" s="1"/>
      <c r="H286" s="1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x14ac:dyDescent="0.25">
      <c r="A287" s="1"/>
      <c r="B287" s="1"/>
      <c r="C287" s="1"/>
      <c r="D287" s="1"/>
      <c r="E287" s="1"/>
      <c r="F287" s="1"/>
      <c r="G287" s="1"/>
      <c r="H287" s="1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x14ac:dyDescent="0.25">
      <c r="A288" s="1"/>
      <c r="B288" s="1"/>
      <c r="C288" s="1"/>
      <c r="D288" s="1"/>
      <c r="E288" s="1"/>
      <c r="F288" s="1"/>
      <c r="G288" s="1"/>
      <c r="H288" s="1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x14ac:dyDescent="0.25">
      <c r="A289" s="1"/>
      <c r="B289" s="1"/>
      <c r="C289" s="1"/>
      <c r="D289" s="1"/>
      <c r="E289" s="1"/>
      <c r="F289" s="1"/>
      <c r="G289" s="1"/>
      <c r="H289" s="1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x14ac:dyDescent="0.25">
      <c r="A290" s="1"/>
      <c r="B290" s="1"/>
      <c r="C290" s="1"/>
      <c r="D290" s="1"/>
      <c r="E290" s="1"/>
      <c r="F290" s="1"/>
      <c r="G290" s="1"/>
      <c r="H290" s="1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x14ac:dyDescent="0.25">
      <c r="A291" s="1"/>
      <c r="B291" s="1"/>
      <c r="C291" s="1"/>
      <c r="D291" s="1"/>
      <c r="E291" s="1"/>
      <c r="F291" s="1"/>
      <c r="G291" s="1"/>
      <c r="H291" s="1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x14ac:dyDescent="0.25">
      <c r="A292" s="1"/>
      <c r="B292" s="1"/>
      <c r="C292" s="1"/>
      <c r="D292" s="1"/>
      <c r="E292" s="1"/>
      <c r="F292" s="1"/>
      <c r="G292" s="1"/>
      <c r="H292" s="1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x14ac:dyDescent="0.25">
      <c r="A293" s="1"/>
      <c r="B293" s="1"/>
      <c r="C293" s="1"/>
      <c r="D293" s="1"/>
      <c r="E293" s="1"/>
      <c r="F293" s="1"/>
      <c r="G293" s="1"/>
      <c r="H293" s="1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x14ac:dyDescent="0.25">
      <c r="A294" s="1"/>
      <c r="B294" s="1"/>
      <c r="C294" s="1"/>
      <c r="D294" s="1"/>
      <c r="E294" s="1"/>
      <c r="F294" s="1"/>
      <c r="G294" s="1"/>
      <c r="H294" s="1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x14ac:dyDescent="0.25">
      <c r="A295" s="1"/>
      <c r="B295" s="1"/>
      <c r="C295" s="1"/>
      <c r="D295" s="1"/>
      <c r="E295" s="1"/>
      <c r="F295" s="1"/>
      <c r="G295" s="1"/>
      <c r="H295" s="1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x14ac:dyDescent="0.25">
      <c r="A296" s="1"/>
      <c r="B296" s="1"/>
      <c r="C296" s="1"/>
      <c r="D296" s="1"/>
      <c r="E296" s="1"/>
      <c r="F296" s="1"/>
      <c r="G296" s="1"/>
      <c r="H296" s="1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x14ac:dyDescent="0.25">
      <c r="A297" s="1"/>
      <c r="B297" s="1"/>
      <c r="C297" s="1"/>
      <c r="D297" s="1"/>
      <c r="E297" s="1"/>
      <c r="F297" s="1"/>
      <c r="G297" s="1"/>
      <c r="H297" s="1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x14ac:dyDescent="0.25">
      <c r="A298" s="1"/>
      <c r="B298" s="1"/>
      <c r="C298" s="1"/>
      <c r="D298" s="1"/>
      <c r="E298" s="1"/>
      <c r="F298" s="1"/>
      <c r="G298" s="1"/>
      <c r="H298" s="1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x14ac:dyDescent="0.25">
      <c r="A299" s="1"/>
      <c r="B299" s="1"/>
      <c r="C299" s="1"/>
      <c r="D299" s="1"/>
      <c r="E299" s="1"/>
      <c r="F299" s="1"/>
      <c r="G299" s="1"/>
      <c r="H299" s="1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x14ac:dyDescent="0.25">
      <c r="A300" s="1"/>
      <c r="B300" s="1"/>
      <c r="C300" s="1"/>
      <c r="D300" s="1"/>
      <c r="E300" s="1"/>
      <c r="F300" s="1"/>
      <c r="G300" s="1"/>
      <c r="H300" s="1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x14ac:dyDescent="0.25">
      <c r="A301" s="1"/>
      <c r="B301" s="1"/>
      <c r="C301" s="1"/>
      <c r="D301" s="1"/>
      <c r="E301" s="1"/>
      <c r="F301" s="1"/>
      <c r="G301" s="1"/>
      <c r="H301" s="1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x14ac:dyDescent="0.25">
      <c r="A302" s="1"/>
      <c r="B302" s="1"/>
      <c r="C302" s="1"/>
      <c r="D302" s="1"/>
      <c r="E302" s="1"/>
      <c r="F302" s="1"/>
      <c r="G302" s="1"/>
      <c r="H302" s="1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x14ac:dyDescent="0.25">
      <c r="A303" s="1"/>
      <c r="B303" s="1"/>
      <c r="C303" s="1"/>
      <c r="D303" s="1"/>
      <c r="E303" s="1"/>
      <c r="F303" s="1"/>
      <c r="G303" s="1"/>
      <c r="H303" s="1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x14ac:dyDescent="0.25">
      <c r="A304" s="1"/>
      <c r="B304" s="1"/>
      <c r="C304" s="1"/>
      <c r="D304" s="1"/>
      <c r="E304" s="1"/>
      <c r="F304" s="1"/>
      <c r="G304" s="1"/>
      <c r="H304" s="1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x14ac:dyDescent="0.25">
      <c r="A305" s="1"/>
      <c r="B305" s="1"/>
      <c r="C305" s="1"/>
      <c r="D305" s="1"/>
      <c r="E305" s="1"/>
      <c r="F305" s="1"/>
      <c r="G305" s="1"/>
      <c r="H305" s="1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x14ac:dyDescent="0.25">
      <c r="A306" s="1"/>
      <c r="B306" s="1"/>
      <c r="C306" s="1"/>
      <c r="D306" s="1"/>
      <c r="E306" s="1"/>
      <c r="F306" s="1"/>
      <c r="G306" s="1"/>
      <c r="H306" s="1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x14ac:dyDescent="0.25">
      <c r="A307" s="1"/>
      <c r="B307" s="1"/>
      <c r="C307" s="1"/>
      <c r="D307" s="1"/>
      <c r="E307" s="1"/>
      <c r="F307" s="1"/>
      <c r="G307" s="1"/>
      <c r="H307" s="1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x14ac:dyDescent="0.25">
      <c r="A308" s="1"/>
      <c r="B308" s="1"/>
      <c r="C308" s="1"/>
      <c r="D308" s="1"/>
      <c r="E308" s="1"/>
      <c r="F308" s="1"/>
      <c r="G308" s="1"/>
      <c r="H308" s="1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x14ac:dyDescent="0.25">
      <c r="A309" s="1"/>
      <c r="B309" s="1"/>
      <c r="C309" s="1"/>
      <c r="D309" s="1"/>
      <c r="E309" s="1"/>
      <c r="F309" s="1"/>
      <c r="G309" s="1"/>
      <c r="H309" s="1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x14ac:dyDescent="0.25">
      <c r="A310" s="1"/>
      <c r="B310" s="1"/>
      <c r="C310" s="1"/>
      <c r="D310" s="1"/>
      <c r="E310" s="1"/>
      <c r="F310" s="1"/>
      <c r="G310" s="1"/>
      <c r="H310" s="1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x14ac:dyDescent="0.25">
      <c r="A311" s="1"/>
      <c r="B311" s="1"/>
      <c r="C311" s="1"/>
      <c r="D311" s="1"/>
      <c r="E311" s="1"/>
      <c r="F311" s="1"/>
      <c r="G311" s="1"/>
      <c r="H311" s="1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x14ac:dyDescent="0.25">
      <c r="A312" s="1"/>
      <c r="B312" s="1"/>
      <c r="C312" s="1"/>
      <c r="D312" s="1"/>
      <c r="E312" s="1"/>
      <c r="F312" s="1"/>
      <c r="G312" s="1"/>
      <c r="H312" s="1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x14ac:dyDescent="0.25">
      <c r="A313" s="1"/>
      <c r="B313" s="1"/>
      <c r="C313" s="1"/>
      <c r="D313" s="1"/>
      <c r="E313" s="1"/>
      <c r="F313" s="1"/>
      <c r="G313" s="1"/>
      <c r="H313" s="1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x14ac:dyDescent="0.25">
      <c r="A314" s="1"/>
      <c r="B314" s="1"/>
      <c r="C314" s="1"/>
      <c r="D314" s="1"/>
      <c r="E314" s="1"/>
      <c r="F314" s="1"/>
      <c r="G314" s="1"/>
      <c r="H314" s="1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x14ac:dyDescent="0.25">
      <c r="A315" s="1"/>
      <c r="B315" s="1"/>
      <c r="C315" s="1"/>
      <c r="D315" s="1"/>
      <c r="E315" s="1"/>
      <c r="F315" s="1"/>
      <c r="G315" s="1"/>
      <c r="H315" s="1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x14ac:dyDescent="0.25">
      <c r="A316" s="1"/>
      <c r="B316" s="1"/>
      <c r="C316" s="1"/>
      <c r="D316" s="1"/>
      <c r="E316" s="1"/>
      <c r="F316" s="1"/>
      <c r="G316" s="1"/>
      <c r="H316" s="1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x14ac:dyDescent="0.25">
      <c r="A317" s="1"/>
      <c r="B317" s="1"/>
      <c r="C317" s="1"/>
      <c r="D317" s="1"/>
      <c r="E317" s="1"/>
      <c r="F317" s="1"/>
      <c r="G317" s="1"/>
      <c r="H317" s="1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x14ac:dyDescent="0.25">
      <c r="A318" s="1"/>
      <c r="B318" s="1"/>
      <c r="C318" s="1"/>
      <c r="D318" s="1"/>
      <c r="E318" s="1"/>
      <c r="F318" s="1"/>
      <c r="G318" s="1"/>
      <c r="H318" s="1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x14ac:dyDescent="0.25">
      <c r="A319" s="1"/>
      <c r="B319" s="1"/>
      <c r="C319" s="1"/>
      <c r="D319" s="1"/>
      <c r="E319" s="1"/>
      <c r="F319" s="1"/>
      <c r="G319" s="1"/>
      <c r="H319" s="1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x14ac:dyDescent="0.25">
      <c r="A320" s="1"/>
      <c r="B320" s="1"/>
      <c r="C320" s="1"/>
      <c r="D320" s="1"/>
      <c r="E320" s="1"/>
      <c r="F320" s="1"/>
      <c r="G320" s="1"/>
      <c r="H320" s="1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x14ac:dyDescent="0.25">
      <c r="A321" s="1"/>
      <c r="B321" s="1"/>
      <c r="C321" s="1"/>
      <c r="D321" s="1"/>
      <c r="E321" s="1"/>
      <c r="F321" s="1"/>
      <c r="G321" s="1"/>
      <c r="H321" s="1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x14ac:dyDescent="0.25">
      <c r="A322" s="1"/>
      <c r="B322" s="1"/>
      <c r="C322" s="1"/>
      <c r="D322" s="1"/>
      <c r="E322" s="1"/>
      <c r="F322" s="1"/>
      <c r="G322" s="1"/>
      <c r="H322" s="1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x14ac:dyDescent="0.25">
      <c r="A323" s="1"/>
      <c r="B323" s="1"/>
      <c r="C323" s="1"/>
      <c r="D323" s="1"/>
      <c r="E323" s="1"/>
      <c r="F323" s="1"/>
      <c r="G323" s="1"/>
      <c r="H323" s="1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x14ac:dyDescent="0.25">
      <c r="A324" s="1"/>
      <c r="B324" s="1"/>
      <c r="C324" s="1"/>
      <c r="D324" s="1"/>
      <c r="E324" s="1"/>
      <c r="F324" s="1"/>
      <c r="G324" s="1"/>
      <c r="H324" s="1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x14ac:dyDescent="0.25">
      <c r="A325" s="1"/>
      <c r="B325" s="1"/>
      <c r="C325" s="1"/>
      <c r="D325" s="1"/>
      <c r="E325" s="1"/>
      <c r="F325" s="1"/>
      <c r="G325" s="1"/>
      <c r="H325" s="1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x14ac:dyDescent="0.25">
      <c r="A326" s="1"/>
      <c r="B326" s="1"/>
      <c r="C326" s="1"/>
      <c r="D326" s="1"/>
      <c r="E326" s="1"/>
      <c r="F326" s="1"/>
      <c r="G326" s="1"/>
      <c r="H326" s="1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x14ac:dyDescent="0.25">
      <c r="A327" s="1"/>
      <c r="B327" s="1"/>
      <c r="C327" s="1"/>
      <c r="D327" s="1"/>
      <c r="E327" s="1"/>
      <c r="F327" s="1"/>
      <c r="G327" s="1"/>
      <c r="H327" s="1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x14ac:dyDescent="0.25">
      <c r="A328" s="1"/>
      <c r="B328" s="1"/>
      <c r="C328" s="1"/>
      <c r="D328" s="1"/>
      <c r="E328" s="1"/>
      <c r="F328" s="1"/>
      <c r="G328" s="1"/>
      <c r="H328" s="1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x14ac:dyDescent="0.25">
      <c r="A329" s="1"/>
      <c r="B329" s="1"/>
      <c r="C329" s="1"/>
      <c r="D329" s="1"/>
      <c r="E329" s="1"/>
      <c r="F329" s="1"/>
      <c r="G329" s="1"/>
      <c r="H329" s="1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x14ac:dyDescent="0.25">
      <c r="A330" s="1"/>
      <c r="B330" s="1"/>
      <c r="C330" s="1"/>
      <c r="D330" s="1"/>
      <c r="E330" s="1"/>
      <c r="F330" s="1"/>
      <c r="G330" s="1"/>
      <c r="H330" s="1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x14ac:dyDescent="0.25">
      <c r="A331" s="1"/>
      <c r="B331" s="1"/>
      <c r="C331" s="1"/>
      <c r="D331" s="1"/>
      <c r="E331" s="1"/>
      <c r="F331" s="1"/>
      <c r="G331" s="1"/>
      <c r="H331" s="1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x14ac:dyDescent="0.25">
      <c r="A332" s="1"/>
      <c r="B332" s="1"/>
      <c r="C332" s="1"/>
      <c r="D332" s="1"/>
      <c r="E332" s="1"/>
      <c r="F332" s="1"/>
      <c r="G332" s="1"/>
      <c r="H332" s="1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x14ac:dyDescent="0.25">
      <c r="A333" s="1"/>
      <c r="B333" s="1"/>
      <c r="C333" s="1"/>
      <c r="D333" s="1"/>
      <c r="E333" s="1"/>
      <c r="F333" s="1"/>
      <c r="G333" s="1"/>
      <c r="H333" s="1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x14ac:dyDescent="0.25">
      <c r="A334" s="1"/>
      <c r="B334" s="1"/>
      <c r="C334" s="1"/>
      <c r="D334" s="1"/>
      <c r="E334" s="1"/>
      <c r="F334" s="1"/>
      <c r="G334" s="1"/>
      <c r="H334" s="1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x14ac:dyDescent="0.25">
      <c r="A335" s="1"/>
      <c r="B335" s="1"/>
      <c r="C335" s="1"/>
      <c r="D335" s="1"/>
      <c r="E335" s="1"/>
      <c r="F335" s="1"/>
      <c r="G335" s="1"/>
      <c r="H335" s="1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x14ac:dyDescent="0.25">
      <c r="A336" s="1"/>
      <c r="B336" s="1"/>
      <c r="C336" s="1"/>
      <c r="D336" s="1"/>
      <c r="E336" s="1"/>
      <c r="F336" s="1"/>
      <c r="G336" s="1"/>
      <c r="H336" s="1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x14ac:dyDescent="0.25">
      <c r="A337" s="1"/>
      <c r="B337" s="1"/>
      <c r="C337" s="1"/>
      <c r="D337" s="1"/>
      <c r="E337" s="1"/>
      <c r="F337" s="1"/>
      <c r="G337" s="1"/>
      <c r="H337" s="1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x14ac:dyDescent="0.25">
      <c r="A338" s="1"/>
      <c r="B338" s="1"/>
      <c r="C338" s="1"/>
      <c r="D338" s="1"/>
      <c r="E338" s="1"/>
      <c r="F338" s="1"/>
      <c r="G338" s="1"/>
      <c r="H338" s="1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x14ac:dyDescent="0.25">
      <c r="A339" s="1"/>
      <c r="B339" s="1"/>
      <c r="C339" s="1"/>
      <c r="D339" s="1"/>
      <c r="E339" s="1"/>
      <c r="F339" s="1"/>
      <c r="G339" s="1"/>
      <c r="H339" s="1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x14ac:dyDescent="0.25">
      <c r="A340" s="1"/>
      <c r="B340" s="1"/>
      <c r="C340" s="1"/>
      <c r="D340" s="1"/>
      <c r="E340" s="1"/>
      <c r="F340" s="1"/>
      <c r="G340" s="1"/>
      <c r="H340" s="1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x14ac:dyDescent="0.25">
      <c r="A341" s="1"/>
      <c r="B341" s="1"/>
      <c r="C341" s="1"/>
      <c r="D341" s="1"/>
      <c r="E341" s="1"/>
      <c r="F341" s="1"/>
      <c r="G341" s="1"/>
      <c r="H341" s="1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x14ac:dyDescent="0.25">
      <c r="A342" s="1"/>
      <c r="B342" s="1"/>
      <c r="C342" s="1"/>
      <c r="D342" s="1"/>
      <c r="E342" s="1"/>
      <c r="F342" s="1"/>
      <c r="G342" s="1"/>
      <c r="H342" s="1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x14ac:dyDescent="0.25">
      <c r="A343" s="1"/>
      <c r="B343" s="1"/>
      <c r="C343" s="1"/>
      <c r="D343" s="1"/>
      <c r="E343" s="1"/>
      <c r="F343" s="1"/>
      <c r="G343" s="1"/>
      <c r="H343" s="1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x14ac:dyDescent="0.25">
      <c r="A344" s="1"/>
      <c r="B344" s="1"/>
      <c r="C344" s="1"/>
      <c r="D344" s="1"/>
      <c r="E344" s="1"/>
      <c r="F344" s="1"/>
      <c r="G344" s="1"/>
      <c r="H344" s="1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x14ac:dyDescent="0.25">
      <c r="A345" s="1"/>
      <c r="B345" s="1"/>
      <c r="C345" s="1"/>
      <c r="D345" s="1"/>
      <c r="E345" s="1"/>
      <c r="F345" s="1"/>
      <c r="G345" s="1"/>
      <c r="H345" s="1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x14ac:dyDescent="0.25">
      <c r="A346" s="1"/>
      <c r="B346" s="1"/>
      <c r="C346" s="1"/>
      <c r="D346" s="1"/>
      <c r="E346" s="1"/>
      <c r="F346" s="1"/>
      <c r="G346" s="1"/>
      <c r="H346" s="1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x14ac:dyDescent="0.25">
      <c r="A347" s="1"/>
      <c r="B347" s="1"/>
      <c r="C347" s="1"/>
      <c r="D347" s="1"/>
      <c r="E347" s="1"/>
      <c r="F347" s="1"/>
      <c r="G347" s="1"/>
      <c r="H347" s="1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x14ac:dyDescent="0.25">
      <c r="A348" s="1"/>
      <c r="B348" s="1"/>
      <c r="C348" s="1"/>
      <c r="D348" s="1"/>
      <c r="E348" s="1"/>
      <c r="F348" s="1"/>
      <c r="G348" s="1"/>
      <c r="H348" s="1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x14ac:dyDescent="0.25">
      <c r="A349" s="1"/>
      <c r="B349" s="1"/>
      <c r="C349" s="1"/>
      <c r="D349" s="1"/>
      <c r="E349" s="1"/>
      <c r="F349" s="1"/>
      <c r="G349" s="1"/>
      <c r="H349" s="1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x14ac:dyDescent="0.25">
      <c r="A350" s="1"/>
      <c r="B350" s="1"/>
      <c r="C350" s="1"/>
      <c r="D350" s="1"/>
      <c r="E350" s="1"/>
      <c r="F350" s="1"/>
      <c r="G350" s="1"/>
      <c r="H350" s="1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x14ac:dyDescent="0.25">
      <c r="A351" s="1"/>
      <c r="B351" s="1"/>
      <c r="C351" s="1"/>
      <c r="D351" s="1"/>
      <c r="E351" s="1"/>
      <c r="F351" s="1"/>
      <c r="G351" s="1"/>
      <c r="H351" s="1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x14ac:dyDescent="0.25">
      <c r="A352" s="1"/>
      <c r="B352" s="1"/>
      <c r="C352" s="1"/>
      <c r="D352" s="1"/>
      <c r="E352" s="1"/>
      <c r="F352" s="1"/>
      <c r="G352" s="1"/>
      <c r="H352" s="1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x14ac:dyDescent="0.25">
      <c r="A353" s="1"/>
      <c r="B353" s="1"/>
      <c r="C353" s="1"/>
      <c r="D353" s="1"/>
      <c r="E353" s="1"/>
      <c r="F353" s="1"/>
      <c r="G353" s="1"/>
      <c r="H353" s="1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x14ac:dyDescent="0.25">
      <c r="A354" s="1"/>
      <c r="B354" s="1"/>
      <c r="C354" s="1"/>
      <c r="D354" s="1"/>
      <c r="E354" s="1"/>
      <c r="F354" s="1"/>
      <c r="G354" s="1"/>
      <c r="H354" s="1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x14ac:dyDescent="0.25">
      <c r="A355" s="1"/>
      <c r="B355" s="1"/>
      <c r="C355" s="1"/>
      <c r="D355" s="1"/>
      <c r="E355" s="1"/>
      <c r="F355" s="1"/>
      <c r="G355" s="1"/>
      <c r="H355" s="1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x14ac:dyDescent="0.25">
      <c r="A356" s="1"/>
      <c r="B356" s="1"/>
      <c r="C356" s="1"/>
      <c r="D356" s="1"/>
      <c r="E356" s="1"/>
      <c r="F356" s="1"/>
      <c r="G356" s="1"/>
      <c r="H356" s="1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x14ac:dyDescent="0.25">
      <c r="A357" s="1"/>
      <c r="B357" s="1"/>
      <c r="C357" s="1"/>
      <c r="D357" s="1"/>
      <c r="E357" s="1"/>
      <c r="F357" s="1"/>
      <c r="G357" s="1"/>
      <c r="H357" s="1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x14ac:dyDescent="0.25">
      <c r="A358" s="1"/>
      <c r="B358" s="1"/>
      <c r="C358" s="1"/>
      <c r="D358" s="1"/>
      <c r="E358" s="1"/>
      <c r="F358" s="1"/>
      <c r="G358" s="1"/>
      <c r="H358" s="1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x14ac:dyDescent="0.25">
      <c r="A359" s="1"/>
      <c r="B359" s="1"/>
      <c r="C359" s="1"/>
      <c r="D359" s="1"/>
      <c r="E359" s="1"/>
      <c r="F359" s="1"/>
      <c r="G359" s="1"/>
      <c r="H359" s="1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x14ac:dyDescent="0.25">
      <c r="A360" s="1"/>
      <c r="B360" s="1"/>
      <c r="C360" s="1"/>
      <c r="D360" s="1"/>
      <c r="E360" s="1"/>
      <c r="F360" s="1"/>
      <c r="G360" s="1"/>
      <c r="H360" s="1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x14ac:dyDescent="0.25">
      <c r="A361" s="1"/>
      <c r="B361" s="1"/>
      <c r="C361" s="1"/>
      <c r="D361" s="1"/>
      <c r="E361" s="1"/>
      <c r="F361" s="1"/>
      <c r="G361" s="1"/>
      <c r="H361" s="1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x14ac:dyDescent="0.25">
      <c r="A362" s="1"/>
      <c r="B362" s="1"/>
      <c r="C362" s="1"/>
      <c r="D362" s="1"/>
      <c r="E362" s="1"/>
      <c r="F362" s="1"/>
      <c r="G362" s="1"/>
      <c r="H362" s="1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x14ac:dyDescent="0.25">
      <c r="A363" s="1"/>
      <c r="B363" s="1"/>
      <c r="C363" s="1"/>
      <c r="D363" s="1"/>
      <c r="E363" s="1"/>
      <c r="F363" s="1"/>
      <c r="G363" s="1"/>
      <c r="H363" s="1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x14ac:dyDescent="0.25">
      <c r="A364" s="1"/>
      <c r="B364" s="1"/>
      <c r="C364" s="1"/>
      <c r="D364" s="1"/>
      <c r="E364" s="1"/>
      <c r="F364" s="1"/>
      <c r="G364" s="1"/>
      <c r="H364" s="1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x14ac:dyDescent="0.25">
      <c r="A365" s="1"/>
      <c r="B365" s="1"/>
      <c r="C365" s="1"/>
      <c r="D365" s="1"/>
      <c r="E365" s="1"/>
      <c r="F365" s="1"/>
      <c r="G365" s="1"/>
      <c r="H365" s="1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x14ac:dyDescent="0.25">
      <c r="A366" s="1"/>
      <c r="B366" s="1"/>
      <c r="C366" s="1"/>
      <c r="D366" s="1"/>
      <c r="E366" s="1"/>
      <c r="F366" s="1"/>
      <c r="G366" s="1"/>
      <c r="H366" s="1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x14ac:dyDescent="0.25">
      <c r="A367" s="1"/>
      <c r="B367" s="1"/>
      <c r="C367" s="1"/>
      <c r="D367" s="1"/>
      <c r="E367" s="1"/>
      <c r="F367" s="1"/>
      <c r="G367" s="1"/>
      <c r="H367" s="1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x14ac:dyDescent="0.25">
      <c r="A368" s="1"/>
      <c r="B368" s="1"/>
      <c r="C368" s="1"/>
      <c r="D368" s="1"/>
      <c r="E368" s="1"/>
      <c r="F368" s="1"/>
      <c r="G368" s="1"/>
      <c r="H368" s="1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x14ac:dyDescent="0.25">
      <c r="A369" s="1"/>
      <c r="B369" s="1"/>
      <c r="C369" s="1"/>
      <c r="D369" s="1"/>
      <c r="E369" s="1"/>
      <c r="F369" s="1"/>
      <c r="G369" s="1"/>
      <c r="H369" s="1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x14ac:dyDescent="0.25">
      <c r="A370" s="1"/>
      <c r="B370" s="1"/>
      <c r="C370" s="1"/>
      <c r="D370" s="1"/>
      <c r="E370" s="1"/>
      <c r="F370" s="1"/>
      <c r="G370" s="1"/>
      <c r="H370" s="1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x14ac:dyDescent="0.25">
      <c r="A371" s="1"/>
      <c r="B371" s="1"/>
      <c r="C371" s="1"/>
      <c r="D371" s="1"/>
      <c r="E371" s="1"/>
      <c r="F371" s="1"/>
      <c r="G371" s="1"/>
      <c r="H371" s="1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x14ac:dyDescent="0.25">
      <c r="A372" s="1"/>
      <c r="B372" s="1"/>
      <c r="C372" s="1"/>
      <c r="D372" s="1"/>
      <c r="E372" s="1"/>
      <c r="F372" s="1"/>
      <c r="G372" s="1"/>
      <c r="H372" s="1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x14ac:dyDescent="0.25">
      <c r="A373" s="1"/>
      <c r="B373" s="1"/>
      <c r="C373" s="1"/>
      <c r="D373" s="1"/>
      <c r="E373" s="1"/>
      <c r="F373" s="1"/>
      <c r="G373" s="1"/>
      <c r="H373" s="1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x14ac:dyDescent="0.25">
      <c r="A374" s="1"/>
      <c r="B374" s="1"/>
      <c r="C374" s="1"/>
      <c r="D374" s="1"/>
      <c r="E374" s="1"/>
      <c r="F374" s="1"/>
      <c r="G374" s="1"/>
      <c r="H374" s="1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x14ac:dyDescent="0.25">
      <c r="A375" s="1"/>
      <c r="B375" s="1"/>
      <c r="C375" s="1"/>
      <c r="D375" s="1"/>
      <c r="E375" s="1"/>
      <c r="F375" s="1"/>
      <c r="G375" s="1"/>
      <c r="H375" s="1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x14ac:dyDescent="0.25">
      <c r="A376" s="1"/>
      <c r="B376" s="1"/>
      <c r="C376" s="1"/>
      <c r="D376" s="1"/>
      <c r="E376" s="1"/>
      <c r="F376" s="1"/>
      <c r="G376" s="1"/>
      <c r="H376" s="1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x14ac:dyDescent="0.25">
      <c r="A377" s="1"/>
      <c r="B377" s="1"/>
      <c r="C377" s="1"/>
      <c r="D377" s="1"/>
      <c r="E377" s="1"/>
      <c r="F377" s="1"/>
      <c r="G377" s="1"/>
      <c r="H377" s="1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x14ac:dyDescent="0.25">
      <c r="A378" s="1"/>
      <c r="B378" s="1"/>
      <c r="C378" s="1"/>
      <c r="D378" s="1"/>
      <c r="E378" s="1"/>
      <c r="F378" s="1"/>
      <c r="G378" s="1"/>
      <c r="H378" s="1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x14ac:dyDescent="0.25">
      <c r="A379" s="1"/>
      <c r="B379" s="1"/>
      <c r="C379" s="1"/>
      <c r="D379" s="1"/>
      <c r="E379" s="1"/>
      <c r="F379" s="1"/>
      <c r="G379" s="1"/>
      <c r="H379" s="1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x14ac:dyDescent="0.25">
      <c r="A380" s="1"/>
      <c r="B380" s="1"/>
      <c r="C380" s="1"/>
      <c r="D380" s="1"/>
      <c r="E380" s="1"/>
      <c r="F380" s="1"/>
      <c r="G380" s="1"/>
      <c r="H380" s="1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x14ac:dyDescent="0.25">
      <c r="A381" s="1"/>
      <c r="B381" s="1"/>
      <c r="C381" s="1"/>
      <c r="D381" s="1"/>
      <c r="E381" s="1"/>
      <c r="F381" s="1"/>
      <c r="G381" s="1"/>
      <c r="H381" s="1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x14ac:dyDescent="0.25">
      <c r="A382" s="1"/>
      <c r="B382" s="1"/>
      <c r="C382" s="1"/>
      <c r="D382" s="1"/>
      <c r="E382" s="1"/>
      <c r="F382" s="1"/>
      <c r="G382" s="1"/>
      <c r="H382" s="1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x14ac:dyDescent="0.25">
      <c r="A383" s="1"/>
      <c r="B383" s="1"/>
      <c r="C383" s="1"/>
      <c r="D383" s="1"/>
      <c r="E383" s="1"/>
      <c r="F383" s="1"/>
      <c r="G383" s="1"/>
      <c r="H383" s="1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x14ac:dyDescent="0.25">
      <c r="A384" s="1"/>
      <c r="B384" s="1"/>
      <c r="C384" s="1"/>
      <c r="D384" s="1"/>
      <c r="E384" s="1"/>
      <c r="F384" s="1"/>
      <c r="G384" s="1"/>
      <c r="H384" s="1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x14ac:dyDescent="0.25">
      <c r="A385" s="1"/>
      <c r="B385" s="1"/>
      <c r="C385" s="1"/>
      <c r="D385" s="1"/>
      <c r="E385" s="1"/>
      <c r="F385" s="1"/>
      <c r="G385" s="1"/>
      <c r="H385" s="1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x14ac:dyDescent="0.25">
      <c r="A386" s="1"/>
      <c r="B386" s="1"/>
      <c r="C386" s="1"/>
      <c r="D386" s="1"/>
      <c r="E386" s="1"/>
      <c r="F386" s="1"/>
      <c r="G386" s="1"/>
      <c r="H386" s="1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x14ac:dyDescent="0.25">
      <c r="A387" s="1"/>
      <c r="B387" s="1"/>
      <c r="C387" s="1"/>
      <c r="D387" s="1"/>
      <c r="E387" s="1"/>
      <c r="F387" s="1"/>
      <c r="G387" s="1"/>
      <c r="H387" s="1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x14ac:dyDescent="0.25">
      <c r="A388" s="1"/>
      <c r="B388" s="1"/>
      <c r="C388" s="1"/>
      <c r="D388" s="1"/>
      <c r="E388" s="1"/>
      <c r="F388" s="1"/>
      <c r="G388" s="1"/>
      <c r="H388" s="1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x14ac:dyDescent="0.25">
      <c r="A389" s="1"/>
      <c r="B389" s="1"/>
      <c r="C389" s="1"/>
      <c r="D389" s="1"/>
      <c r="E389" s="1"/>
      <c r="F389" s="1"/>
      <c r="G389" s="1"/>
      <c r="H389" s="1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x14ac:dyDescent="0.25">
      <c r="A390" s="1"/>
      <c r="B390" s="1"/>
      <c r="C390" s="1"/>
      <c r="D390" s="1"/>
      <c r="E390" s="1"/>
      <c r="F390" s="1"/>
      <c r="G390" s="1"/>
      <c r="H390" s="1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x14ac:dyDescent="0.25">
      <c r="A391" s="1"/>
      <c r="B391" s="1"/>
      <c r="C391" s="1"/>
      <c r="D391" s="1"/>
      <c r="E391" s="1"/>
      <c r="F391" s="1"/>
      <c r="G391" s="1"/>
      <c r="H391" s="1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x14ac:dyDescent="0.25">
      <c r="A392" s="1"/>
      <c r="B392" s="1"/>
      <c r="C392" s="1"/>
      <c r="D392" s="1"/>
      <c r="E392" s="1"/>
      <c r="F392" s="1"/>
      <c r="G392" s="1"/>
      <c r="H392" s="1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x14ac:dyDescent="0.25">
      <c r="A393" s="1"/>
      <c r="B393" s="1"/>
      <c r="C393" s="1"/>
      <c r="D393" s="1"/>
      <c r="E393" s="1"/>
      <c r="F393" s="1"/>
      <c r="G393" s="1"/>
      <c r="H393" s="1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x14ac:dyDescent="0.25">
      <c r="A394" s="1"/>
      <c r="B394" s="1"/>
      <c r="C394" s="1"/>
      <c r="D394" s="1"/>
      <c r="E394" s="1"/>
      <c r="F394" s="1"/>
      <c r="G394" s="1"/>
      <c r="H394" s="1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x14ac:dyDescent="0.25">
      <c r="A395" s="1"/>
      <c r="B395" s="1"/>
      <c r="C395" s="1"/>
      <c r="D395" s="1"/>
      <c r="E395" s="1"/>
      <c r="F395" s="1"/>
      <c r="G395" s="1"/>
      <c r="H395" s="1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x14ac:dyDescent="0.25">
      <c r="A396" s="1"/>
      <c r="B396" s="1"/>
      <c r="C396" s="1"/>
      <c r="D396" s="1"/>
      <c r="E396" s="1"/>
      <c r="F396" s="1"/>
      <c r="G396" s="1"/>
      <c r="H396" s="1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x14ac:dyDescent="0.25">
      <c r="A397" s="1"/>
      <c r="B397" s="1"/>
      <c r="C397" s="1"/>
      <c r="D397" s="1"/>
      <c r="E397" s="1"/>
      <c r="F397" s="1"/>
      <c r="G397" s="1"/>
      <c r="H397" s="1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x14ac:dyDescent="0.25">
      <c r="A398" s="1"/>
      <c r="B398" s="1"/>
      <c r="C398" s="1"/>
      <c r="D398" s="1"/>
      <c r="E398" s="1"/>
      <c r="F398" s="1"/>
      <c r="G398" s="1"/>
      <c r="H398" s="1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x14ac:dyDescent="0.25">
      <c r="A399" s="1"/>
      <c r="B399" s="1"/>
      <c r="C399" s="1"/>
      <c r="D399" s="1"/>
      <c r="E399" s="1"/>
      <c r="F399" s="1"/>
      <c r="G399" s="1"/>
      <c r="H399" s="1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x14ac:dyDescent="0.25">
      <c r="A400" s="1"/>
      <c r="B400" s="1"/>
      <c r="C400" s="1"/>
      <c r="D400" s="1"/>
      <c r="E400" s="1"/>
      <c r="F400" s="1"/>
      <c r="G400" s="1"/>
      <c r="H400" s="1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x14ac:dyDescent="0.25">
      <c r="A401" s="1"/>
      <c r="B401" s="1"/>
      <c r="C401" s="1"/>
      <c r="D401" s="1"/>
      <c r="E401" s="1"/>
      <c r="F401" s="1"/>
      <c r="G401" s="1"/>
      <c r="H401" s="1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x14ac:dyDescent="0.25">
      <c r="A402" s="1"/>
      <c r="B402" s="1"/>
      <c r="C402" s="1"/>
      <c r="D402" s="1"/>
      <c r="E402" s="1"/>
      <c r="F402" s="1"/>
      <c r="G402" s="1"/>
      <c r="H402" s="1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x14ac:dyDescent="0.25">
      <c r="A403" s="1"/>
      <c r="B403" s="1"/>
      <c r="C403" s="1"/>
      <c r="D403" s="1"/>
      <c r="E403" s="1"/>
      <c r="F403" s="1"/>
      <c r="G403" s="1"/>
      <c r="H403" s="1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x14ac:dyDescent="0.25">
      <c r="A404" s="1"/>
      <c r="B404" s="1"/>
      <c r="C404" s="1"/>
      <c r="D404" s="1"/>
      <c r="E404" s="1"/>
      <c r="F404" s="1"/>
      <c r="G404" s="1"/>
      <c r="H404" s="1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x14ac:dyDescent="0.25">
      <c r="A405" s="1"/>
      <c r="B405" s="1"/>
      <c r="C405" s="1"/>
      <c r="D405" s="1"/>
      <c r="E405" s="1"/>
      <c r="F405" s="1"/>
      <c r="G405" s="1"/>
      <c r="H405" s="1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x14ac:dyDescent="0.25">
      <c r="A406" s="1"/>
      <c r="B406" s="1"/>
      <c r="C406" s="1"/>
      <c r="D406" s="1"/>
      <c r="E406" s="1"/>
      <c r="F406" s="1"/>
      <c r="G406" s="1"/>
      <c r="H406" s="1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x14ac:dyDescent="0.25">
      <c r="A407" s="1"/>
      <c r="B407" s="1"/>
      <c r="C407" s="1"/>
      <c r="D407" s="1"/>
      <c r="E407" s="1"/>
      <c r="F407" s="1"/>
      <c r="G407" s="1"/>
      <c r="H407" s="1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x14ac:dyDescent="0.25">
      <c r="A408" s="1"/>
      <c r="B408" s="1"/>
      <c r="C408" s="1"/>
      <c r="D408" s="1"/>
      <c r="E408" s="1"/>
      <c r="F408" s="1"/>
      <c r="G408" s="1"/>
      <c r="H408" s="1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x14ac:dyDescent="0.25">
      <c r="A409" s="1"/>
      <c r="B409" s="1"/>
      <c r="C409" s="1"/>
      <c r="D409" s="1"/>
      <c r="E409" s="1"/>
      <c r="F409" s="1"/>
      <c r="G409" s="1"/>
      <c r="H409" s="1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x14ac:dyDescent="0.25">
      <c r="A410" s="1"/>
      <c r="B410" s="1"/>
      <c r="C410" s="1"/>
      <c r="D410" s="1"/>
      <c r="E410" s="1"/>
      <c r="F410" s="1"/>
      <c r="G410" s="1"/>
      <c r="H410" s="1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x14ac:dyDescent="0.25">
      <c r="A411" s="1"/>
      <c r="B411" s="1"/>
      <c r="C411" s="1"/>
      <c r="D411" s="1"/>
      <c r="E411" s="1"/>
      <c r="F411" s="1"/>
      <c r="G411" s="1"/>
      <c r="H411" s="1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x14ac:dyDescent="0.25">
      <c r="A412" s="1"/>
      <c r="B412" s="1"/>
      <c r="C412" s="1"/>
      <c r="D412" s="1"/>
      <c r="E412" s="1"/>
      <c r="F412" s="1"/>
      <c r="G412" s="1"/>
      <c r="H412" s="1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x14ac:dyDescent="0.25">
      <c r="A413" s="1"/>
      <c r="B413" s="1"/>
      <c r="C413" s="1"/>
      <c r="D413" s="1"/>
      <c r="E413" s="1"/>
      <c r="F413" s="1"/>
      <c r="G413" s="1"/>
      <c r="H413" s="1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x14ac:dyDescent="0.25">
      <c r="A414" s="1"/>
      <c r="B414" s="1"/>
      <c r="C414" s="1"/>
      <c r="D414" s="1"/>
      <c r="E414" s="1"/>
      <c r="F414" s="1"/>
      <c r="G414" s="1"/>
      <c r="H414" s="1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x14ac:dyDescent="0.25">
      <c r="A415" s="1"/>
      <c r="B415" s="1"/>
      <c r="C415" s="1"/>
      <c r="D415" s="1"/>
      <c r="E415" s="1"/>
      <c r="F415" s="1"/>
      <c r="G415" s="1"/>
      <c r="H415" s="1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x14ac:dyDescent="0.25">
      <c r="A416" s="1"/>
      <c r="B416" s="1"/>
      <c r="C416" s="1"/>
      <c r="D416" s="1"/>
      <c r="E416" s="1"/>
      <c r="F416" s="1"/>
      <c r="G416" s="1"/>
      <c r="H416" s="1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x14ac:dyDescent="0.25">
      <c r="A417" s="1"/>
      <c r="B417" s="1"/>
      <c r="C417" s="1"/>
      <c r="D417" s="1"/>
      <c r="E417" s="1"/>
      <c r="F417" s="1"/>
      <c r="G417" s="1"/>
      <c r="H417" s="1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x14ac:dyDescent="0.25">
      <c r="A418" s="1"/>
      <c r="B418" s="1"/>
      <c r="C418" s="1"/>
      <c r="D418" s="1"/>
      <c r="E418" s="1"/>
      <c r="F418" s="1"/>
      <c r="G418" s="1"/>
      <c r="H418" s="1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x14ac:dyDescent="0.25">
      <c r="A419" s="1"/>
      <c r="B419" s="1"/>
      <c r="C419" s="1"/>
      <c r="D419" s="1"/>
      <c r="E419" s="1"/>
      <c r="F419" s="1"/>
      <c r="G419" s="1"/>
      <c r="H419" s="1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x14ac:dyDescent="0.25">
      <c r="A420" s="1"/>
      <c r="B420" s="1"/>
      <c r="C420" s="1"/>
      <c r="D420" s="1"/>
      <c r="E420" s="1"/>
      <c r="F420" s="1"/>
      <c r="G420" s="1"/>
      <c r="H420" s="1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x14ac:dyDescent="0.25">
      <c r="A421" s="1"/>
      <c r="B421" s="1"/>
      <c r="C421" s="1"/>
      <c r="D421" s="1"/>
      <c r="E421" s="1"/>
      <c r="F421" s="1"/>
      <c r="G421" s="1"/>
      <c r="H421" s="1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x14ac:dyDescent="0.25">
      <c r="A422" s="1"/>
      <c r="B422" s="1"/>
      <c r="C422" s="1"/>
      <c r="D422" s="1"/>
      <c r="E422" s="1"/>
      <c r="F422" s="1"/>
      <c r="G422" s="1"/>
      <c r="H422" s="1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x14ac:dyDescent="0.25">
      <c r="A423" s="1"/>
      <c r="B423" s="1"/>
      <c r="C423" s="1"/>
      <c r="D423" s="1"/>
      <c r="E423" s="1"/>
      <c r="F423" s="1"/>
      <c r="G423" s="1"/>
      <c r="H423" s="1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x14ac:dyDescent="0.25">
      <c r="A424" s="1"/>
      <c r="B424" s="1"/>
      <c r="C424" s="1"/>
      <c r="D424" s="1"/>
      <c r="E424" s="1"/>
      <c r="F424" s="1"/>
      <c r="G424" s="1"/>
      <c r="H424" s="1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x14ac:dyDescent="0.25">
      <c r="A425" s="1"/>
      <c r="B425" s="1"/>
      <c r="C425" s="1"/>
      <c r="D425" s="1"/>
      <c r="E425" s="1"/>
      <c r="F425" s="1"/>
      <c r="G425" s="1"/>
      <c r="H425" s="1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x14ac:dyDescent="0.25">
      <c r="A426" s="1"/>
      <c r="B426" s="1"/>
      <c r="C426" s="1"/>
      <c r="D426" s="1"/>
      <c r="E426" s="1"/>
      <c r="F426" s="1"/>
      <c r="G426" s="1"/>
      <c r="H426" s="1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x14ac:dyDescent="0.25">
      <c r="A427" s="1"/>
      <c r="B427" s="1"/>
      <c r="C427" s="1"/>
      <c r="D427" s="1"/>
      <c r="E427" s="1"/>
      <c r="F427" s="1"/>
      <c r="G427" s="1"/>
      <c r="H427" s="1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x14ac:dyDescent="0.25">
      <c r="A428" s="1"/>
      <c r="B428" s="1"/>
      <c r="C428" s="1"/>
      <c r="D428" s="1"/>
      <c r="E428" s="1"/>
      <c r="F428" s="1"/>
      <c r="G428" s="1"/>
      <c r="H428" s="1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x14ac:dyDescent="0.25">
      <c r="A429" s="1"/>
      <c r="B429" s="1"/>
      <c r="C429" s="1"/>
      <c r="D429" s="1"/>
      <c r="E429" s="1"/>
      <c r="F429" s="1"/>
      <c r="G429" s="1"/>
      <c r="H429" s="1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x14ac:dyDescent="0.25">
      <c r="A430" s="1"/>
      <c r="B430" s="1"/>
      <c r="C430" s="1"/>
      <c r="D430" s="1"/>
      <c r="E430" s="1"/>
      <c r="F430" s="1"/>
      <c r="G430" s="1"/>
      <c r="H430" s="1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x14ac:dyDescent="0.25">
      <c r="A431" s="1"/>
      <c r="B431" s="1"/>
      <c r="C431" s="1"/>
      <c r="D431" s="1"/>
      <c r="E431" s="1"/>
      <c r="F431" s="1"/>
      <c r="G431" s="1"/>
      <c r="H431" s="1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x14ac:dyDescent="0.25">
      <c r="A432" s="1"/>
      <c r="B432" s="1"/>
      <c r="C432" s="1"/>
      <c r="D432" s="1"/>
      <c r="E432" s="1"/>
      <c r="F432" s="1"/>
      <c r="G432" s="1"/>
      <c r="H432" s="1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x14ac:dyDescent="0.25">
      <c r="A433" s="1"/>
      <c r="B433" s="1"/>
      <c r="C433" s="1"/>
      <c r="D433" s="1"/>
      <c r="E433" s="1"/>
      <c r="F433" s="1"/>
      <c r="G433" s="1"/>
      <c r="H433" s="1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x14ac:dyDescent="0.25">
      <c r="A434" s="1"/>
      <c r="B434" s="1"/>
      <c r="C434" s="1"/>
      <c r="D434" s="1"/>
      <c r="E434" s="1"/>
      <c r="F434" s="1"/>
      <c r="G434" s="1"/>
      <c r="H434" s="1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x14ac:dyDescent="0.25">
      <c r="A435" s="1"/>
      <c r="B435" s="1"/>
      <c r="C435" s="1"/>
      <c r="D435" s="1"/>
      <c r="E435" s="1"/>
      <c r="F435" s="1"/>
      <c r="G435" s="1"/>
      <c r="H435" s="1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x14ac:dyDescent="0.25">
      <c r="A436" s="1"/>
      <c r="B436" s="1"/>
      <c r="C436" s="1"/>
      <c r="D436" s="1"/>
      <c r="E436" s="1"/>
      <c r="F436" s="1"/>
      <c r="G436" s="1"/>
      <c r="H436" s="1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x14ac:dyDescent="0.25">
      <c r="A437" s="1"/>
      <c r="B437" s="1"/>
      <c r="C437" s="1"/>
      <c r="D437" s="1"/>
      <c r="E437" s="1"/>
      <c r="F437" s="1"/>
      <c r="G437" s="1"/>
      <c r="H437" s="1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x14ac:dyDescent="0.25">
      <c r="A438" s="1"/>
      <c r="B438" s="1"/>
      <c r="C438" s="1"/>
      <c r="D438" s="1"/>
      <c r="E438" s="1"/>
      <c r="F438" s="1"/>
      <c r="G438" s="1"/>
      <c r="H438" s="1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x14ac:dyDescent="0.25">
      <c r="A439" s="1"/>
      <c r="B439" s="1"/>
      <c r="C439" s="1"/>
      <c r="D439" s="1"/>
      <c r="E439" s="1"/>
      <c r="F439" s="1"/>
      <c r="G439" s="1"/>
      <c r="H439" s="1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x14ac:dyDescent="0.25">
      <c r="A440" s="1"/>
      <c r="B440" s="1"/>
      <c r="C440" s="1"/>
      <c r="D440" s="1"/>
      <c r="E440" s="1"/>
      <c r="F440" s="1"/>
      <c r="G440" s="1"/>
      <c r="H440" s="1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x14ac:dyDescent="0.25">
      <c r="A441" s="1"/>
      <c r="B441" s="1"/>
      <c r="C441" s="1"/>
      <c r="D441" s="1"/>
      <c r="E441" s="1"/>
      <c r="F441" s="1"/>
      <c r="G441" s="1"/>
      <c r="H441" s="1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x14ac:dyDescent="0.25">
      <c r="A442" s="1"/>
      <c r="B442" s="1"/>
      <c r="C442" s="1"/>
      <c r="D442" s="1"/>
      <c r="E442" s="1"/>
      <c r="F442" s="1"/>
      <c r="G442" s="1"/>
      <c r="H442" s="1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x14ac:dyDescent="0.25">
      <c r="A443" s="1"/>
      <c r="B443" s="1"/>
      <c r="C443" s="1"/>
      <c r="D443" s="1"/>
      <c r="E443" s="1"/>
      <c r="F443" s="1"/>
      <c r="G443" s="1"/>
      <c r="H443" s="1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x14ac:dyDescent="0.25">
      <c r="A444" s="1"/>
      <c r="B444" s="1"/>
      <c r="C444" s="1"/>
      <c r="D444" s="1"/>
      <c r="E444" s="1"/>
      <c r="F444" s="1"/>
      <c r="G444" s="1"/>
      <c r="H444" s="1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x14ac:dyDescent="0.25">
      <c r="A445" s="1"/>
      <c r="B445" s="1"/>
      <c r="C445" s="1"/>
      <c r="D445" s="1"/>
      <c r="E445" s="1"/>
      <c r="F445" s="1"/>
      <c r="G445" s="1"/>
      <c r="H445" s="1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x14ac:dyDescent="0.25">
      <c r="A446" s="1"/>
      <c r="B446" s="1"/>
      <c r="C446" s="1"/>
      <c r="D446" s="1"/>
      <c r="E446" s="1"/>
      <c r="F446" s="1"/>
      <c r="G446" s="1"/>
      <c r="H446" s="1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x14ac:dyDescent="0.25">
      <c r="A447" s="1"/>
      <c r="B447" s="1"/>
      <c r="C447" s="1"/>
      <c r="D447" s="1"/>
      <c r="E447" s="1"/>
      <c r="F447" s="1"/>
      <c r="G447" s="1"/>
      <c r="H447" s="1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x14ac:dyDescent="0.25">
      <c r="A448" s="1"/>
      <c r="B448" s="1"/>
      <c r="C448" s="1"/>
      <c r="D448" s="1"/>
      <c r="E448" s="1"/>
      <c r="F448" s="1"/>
      <c r="G448" s="1"/>
      <c r="H448" s="1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x14ac:dyDescent="0.25">
      <c r="A449" s="1"/>
      <c r="B449" s="1"/>
      <c r="C449" s="1"/>
      <c r="D449" s="1"/>
      <c r="E449" s="1"/>
      <c r="F449" s="1"/>
      <c r="G449" s="1"/>
      <c r="H449" s="1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x14ac:dyDescent="0.25">
      <c r="A450" s="1"/>
      <c r="B450" s="1"/>
      <c r="C450" s="1"/>
      <c r="D450" s="1"/>
      <c r="E450" s="1"/>
      <c r="F450" s="1"/>
      <c r="G450" s="1"/>
      <c r="H450" s="1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x14ac:dyDescent="0.25">
      <c r="A451" s="1"/>
      <c r="B451" s="1"/>
      <c r="C451" s="1"/>
      <c r="D451" s="1"/>
      <c r="E451" s="1"/>
      <c r="F451" s="1"/>
      <c r="G451" s="1"/>
      <c r="H451" s="1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x14ac:dyDescent="0.25">
      <c r="A452" s="1"/>
      <c r="B452" s="1"/>
      <c r="C452" s="1"/>
      <c r="D452" s="1"/>
      <c r="E452" s="1"/>
      <c r="F452" s="1"/>
      <c r="G452" s="1"/>
      <c r="H452" s="1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x14ac:dyDescent="0.25">
      <c r="A453" s="1"/>
      <c r="B453" s="1"/>
      <c r="C453" s="1"/>
      <c r="D453" s="1"/>
      <c r="E453" s="1"/>
      <c r="F453" s="1"/>
      <c r="G453" s="1"/>
      <c r="H453" s="1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x14ac:dyDescent="0.25">
      <c r="A454" s="1"/>
      <c r="B454" s="1"/>
      <c r="C454" s="1"/>
      <c r="D454" s="1"/>
      <c r="E454" s="1"/>
      <c r="F454" s="1"/>
      <c r="G454" s="1"/>
      <c r="H454" s="1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x14ac:dyDescent="0.25">
      <c r="A455" s="1"/>
      <c r="B455" s="1"/>
      <c r="C455" s="1"/>
      <c r="D455" s="1"/>
      <c r="E455" s="1"/>
      <c r="F455" s="1"/>
      <c r="G455" s="1"/>
      <c r="H455" s="1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x14ac:dyDescent="0.25">
      <c r="A456" s="1"/>
      <c r="B456" s="1"/>
      <c r="C456" s="1"/>
      <c r="D456" s="1"/>
      <c r="E456" s="1"/>
      <c r="F456" s="1"/>
      <c r="G456" s="1"/>
      <c r="H456" s="1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x14ac:dyDescent="0.25">
      <c r="A457" s="1"/>
      <c r="B457" s="1"/>
      <c r="C457" s="1"/>
      <c r="D457" s="1"/>
      <c r="E457" s="1"/>
      <c r="F457" s="1"/>
      <c r="G457" s="1"/>
      <c r="H457" s="1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x14ac:dyDescent="0.25">
      <c r="A458" s="1"/>
      <c r="B458" s="1"/>
      <c r="C458" s="1"/>
      <c r="D458" s="1"/>
      <c r="E458" s="1"/>
      <c r="F458" s="1"/>
      <c r="G458" s="1"/>
      <c r="H458" s="1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x14ac:dyDescent="0.25">
      <c r="A459" s="1"/>
      <c r="B459" s="1"/>
      <c r="C459" s="1"/>
      <c r="D459" s="1"/>
      <c r="E459" s="1"/>
      <c r="F459" s="1"/>
      <c r="G459" s="1"/>
      <c r="H459" s="1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x14ac:dyDescent="0.25">
      <c r="A460" s="1"/>
      <c r="B460" s="1"/>
      <c r="C460" s="1"/>
      <c r="D460" s="1"/>
      <c r="E460" s="1"/>
      <c r="F460" s="1"/>
      <c r="G460" s="1"/>
      <c r="H460" s="1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x14ac:dyDescent="0.25">
      <c r="A461" s="1"/>
      <c r="B461" s="1"/>
      <c r="C461" s="1"/>
      <c r="D461" s="1"/>
      <c r="E461" s="1"/>
      <c r="F461" s="1"/>
      <c r="G461" s="1"/>
      <c r="H461" s="1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x14ac:dyDescent="0.25">
      <c r="A462" s="1"/>
      <c r="B462" s="1"/>
      <c r="C462" s="1"/>
      <c r="D462" s="1"/>
      <c r="E462" s="1"/>
      <c r="F462" s="1"/>
      <c r="G462" s="1"/>
      <c r="H462" s="1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x14ac:dyDescent="0.25">
      <c r="A463" s="1"/>
      <c r="B463" s="1"/>
      <c r="C463" s="1"/>
      <c r="D463" s="1"/>
      <c r="E463" s="1"/>
      <c r="F463" s="1"/>
      <c r="G463" s="1"/>
      <c r="H463" s="1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x14ac:dyDescent="0.25">
      <c r="A464" s="1"/>
      <c r="B464" s="1"/>
      <c r="C464" s="1"/>
      <c r="D464" s="1"/>
      <c r="E464" s="1"/>
      <c r="F464" s="1"/>
      <c r="G464" s="1"/>
      <c r="H464" s="1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x14ac:dyDescent="0.25">
      <c r="A465" s="1"/>
      <c r="B465" s="1"/>
      <c r="C465" s="1"/>
      <c r="D465" s="1"/>
      <c r="E465" s="1"/>
      <c r="F465" s="1"/>
      <c r="G465" s="1"/>
      <c r="H465" s="1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x14ac:dyDescent="0.25">
      <c r="A466" s="1"/>
      <c r="B466" s="1"/>
      <c r="C466" s="1"/>
      <c r="D466" s="1"/>
      <c r="E466" s="1"/>
      <c r="F466" s="1"/>
      <c r="G466" s="1"/>
      <c r="H466" s="1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x14ac:dyDescent="0.25">
      <c r="A467" s="1"/>
      <c r="B467" s="1"/>
      <c r="C467" s="1"/>
      <c r="D467" s="1"/>
      <c r="E467" s="1"/>
      <c r="F467" s="1"/>
      <c r="G467" s="1"/>
      <c r="H467" s="1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x14ac:dyDescent="0.25">
      <c r="A468" s="1"/>
      <c r="B468" s="1"/>
      <c r="C468" s="1"/>
      <c r="D468" s="1"/>
      <c r="E468" s="1"/>
      <c r="F468" s="1"/>
      <c r="G468" s="1"/>
      <c r="H468" s="1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x14ac:dyDescent="0.25">
      <c r="A469" s="1"/>
      <c r="B469" s="1"/>
      <c r="C469" s="1"/>
      <c r="D469" s="1"/>
      <c r="E469" s="1"/>
      <c r="F469" s="1"/>
      <c r="G469" s="1"/>
      <c r="H469" s="1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x14ac:dyDescent="0.25">
      <c r="A470" s="1"/>
      <c r="B470" s="1"/>
      <c r="C470" s="1"/>
      <c r="D470" s="1"/>
      <c r="E470" s="1"/>
      <c r="F470" s="1"/>
      <c r="G470" s="1"/>
      <c r="H470" s="1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x14ac:dyDescent="0.25">
      <c r="A471" s="1"/>
      <c r="B471" s="1"/>
      <c r="C471" s="1"/>
      <c r="D471" s="1"/>
      <c r="E471" s="1"/>
      <c r="F471" s="1"/>
      <c r="G471" s="1"/>
      <c r="H471" s="1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x14ac:dyDescent="0.25">
      <c r="A472" s="1"/>
      <c r="B472" s="1"/>
      <c r="C472" s="1"/>
      <c r="D472" s="1"/>
      <c r="E472" s="1"/>
      <c r="F472" s="1"/>
      <c r="G472" s="1"/>
      <c r="H472" s="1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x14ac:dyDescent="0.25">
      <c r="A473" s="1"/>
      <c r="B473" s="1"/>
      <c r="C473" s="1"/>
      <c r="D473" s="1"/>
      <c r="E473" s="1"/>
      <c r="F473" s="1"/>
      <c r="G473" s="1"/>
      <c r="H473" s="1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x14ac:dyDescent="0.25">
      <c r="A474" s="1"/>
      <c r="B474" s="1"/>
      <c r="C474" s="1"/>
      <c r="D474" s="1"/>
      <c r="E474" s="1"/>
      <c r="F474" s="1"/>
      <c r="G474" s="1"/>
      <c r="H474" s="1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x14ac:dyDescent="0.25">
      <c r="A475" s="1"/>
      <c r="B475" s="1"/>
      <c r="C475" s="1"/>
      <c r="D475" s="1"/>
      <c r="E475" s="1"/>
      <c r="F475" s="1"/>
      <c r="G475" s="1"/>
      <c r="H475" s="1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x14ac:dyDescent="0.25">
      <c r="A476" s="1"/>
      <c r="B476" s="1"/>
      <c r="C476" s="1"/>
      <c r="D476" s="1"/>
      <c r="E476" s="1"/>
      <c r="F476" s="1"/>
      <c r="G476" s="1"/>
      <c r="H476" s="1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x14ac:dyDescent="0.25">
      <c r="A477" s="1"/>
      <c r="B477" s="1"/>
      <c r="C477" s="1"/>
      <c r="D477" s="1"/>
      <c r="E477" s="1"/>
      <c r="F477" s="1"/>
      <c r="G477" s="1"/>
      <c r="H477" s="1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x14ac:dyDescent="0.25">
      <c r="A478" s="1"/>
      <c r="B478" s="1"/>
      <c r="C478" s="1"/>
      <c r="D478" s="1"/>
      <c r="E478" s="1"/>
      <c r="F478" s="1"/>
      <c r="G478" s="1"/>
      <c r="H478" s="1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x14ac:dyDescent="0.25">
      <c r="A479" s="1"/>
      <c r="B479" s="1"/>
      <c r="C479" s="1"/>
      <c r="D479" s="1"/>
      <c r="E479" s="1"/>
      <c r="F479" s="1"/>
      <c r="G479" s="1"/>
      <c r="H479" s="1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x14ac:dyDescent="0.25">
      <c r="A480" s="1"/>
      <c r="B480" s="1"/>
      <c r="C480" s="1"/>
      <c r="D480" s="1"/>
      <c r="E480" s="1"/>
      <c r="F480" s="1"/>
      <c r="G480" s="1"/>
      <c r="H480" s="1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x14ac:dyDescent="0.25">
      <c r="A481" s="1"/>
      <c r="B481" s="1"/>
      <c r="C481" s="1"/>
      <c r="D481" s="1"/>
      <c r="E481" s="1"/>
      <c r="F481" s="1"/>
      <c r="G481" s="1"/>
      <c r="H481" s="1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x14ac:dyDescent="0.25">
      <c r="A482" s="1"/>
      <c r="B482" s="1"/>
      <c r="C482" s="1"/>
      <c r="D482" s="1"/>
      <c r="E482" s="1"/>
      <c r="F482" s="1"/>
      <c r="G482" s="1"/>
      <c r="H482" s="1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x14ac:dyDescent="0.25">
      <c r="A483" s="1"/>
      <c r="B483" s="1"/>
      <c r="C483" s="1"/>
      <c r="D483" s="1"/>
      <c r="E483" s="1"/>
      <c r="F483" s="1"/>
      <c r="G483" s="1"/>
      <c r="H483" s="1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x14ac:dyDescent="0.25">
      <c r="A484" s="1"/>
      <c r="B484" s="1"/>
      <c r="C484" s="1"/>
      <c r="D484" s="1"/>
      <c r="E484" s="1"/>
      <c r="F484" s="1"/>
      <c r="G484" s="1"/>
      <c r="H484" s="1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x14ac:dyDescent="0.25">
      <c r="A485" s="1"/>
      <c r="B485" s="1"/>
      <c r="C485" s="1"/>
      <c r="D485" s="1"/>
      <c r="E485" s="1"/>
      <c r="F485" s="1"/>
      <c r="G485" s="1"/>
      <c r="H485" s="1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x14ac:dyDescent="0.25">
      <c r="A486" s="1"/>
      <c r="B486" s="1"/>
      <c r="C486" s="1"/>
      <c r="D486" s="1"/>
      <c r="E486" s="1"/>
      <c r="F486" s="1"/>
      <c r="G486" s="1"/>
      <c r="H486" s="1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x14ac:dyDescent="0.25">
      <c r="A487" s="1"/>
      <c r="B487" s="1"/>
      <c r="C487" s="1"/>
      <c r="D487" s="1"/>
      <c r="E487" s="1"/>
      <c r="F487" s="1"/>
      <c r="G487" s="1"/>
      <c r="H487" s="1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x14ac:dyDescent="0.25">
      <c r="A488" s="1"/>
      <c r="B488" s="1"/>
      <c r="C488" s="1"/>
      <c r="D488" s="1"/>
      <c r="E488" s="1"/>
      <c r="F488" s="1"/>
      <c r="G488" s="1"/>
      <c r="H488" s="1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x14ac:dyDescent="0.25">
      <c r="A489" s="1"/>
      <c r="B489" s="1"/>
      <c r="C489" s="1"/>
      <c r="D489" s="1"/>
      <c r="E489" s="1"/>
      <c r="F489" s="1"/>
      <c r="G489" s="1"/>
      <c r="H489" s="1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x14ac:dyDescent="0.25">
      <c r="A490" s="1"/>
      <c r="B490" s="1"/>
      <c r="C490" s="1"/>
      <c r="D490" s="1"/>
      <c r="E490" s="1"/>
      <c r="F490" s="1"/>
      <c r="G490" s="1"/>
      <c r="H490" s="1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x14ac:dyDescent="0.25">
      <c r="A491" s="1"/>
      <c r="B491" s="1"/>
      <c r="C491" s="1"/>
      <c r="D491" s="1"/>
      <c r="E491" s="1"/>
      <c r="F491" s="1"/>
      <c r="G491" s="1"/>
      <c r="H491" s="1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x14ac:dyDescent="0.25">
      <c r="A492" s="1"/>
      <c r="B492" s="1"/>
      <c r="C492" s="1"/>
      <c r="D492" s="1"/>
      <c r="E492" s="1"/>
      <c r="F492" s="1"/>
      <c r="G492" s="1"/>
      <c r="H492" s="1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x14ac:dyDescent="0.25">
      <c r="A493" s="1"/>
      <c r="B493" s="1"/>
      <c r="C493" s="1"/>
      <c r="D493" s="1"/>
      <c r="E493" s="1"/>
      <c r="F493" s="1"/>
      <c r="G493" s="1"/>
      <c r="H493" s="1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x14ac:dyDescent="0.25">
      <c r="A494" s="1"/>
      <c r="B494" s="1"/>
      <c r="C494" s="1"/>
      <c r="D494" s="1"/>
      <c r="E494" s="1"/>
      <c r="F494" s="1"/>
      <c r="G494" s="1"/>
      <c r="H494" s="1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x14ac:dyDescent="0.25">
      <c r="A495" s="1"/>
      <c r="B495" s="1"/>
      <c r="C495" s="1"/>
      <c r="D495" s="1"/>
      <c r="E495" s="1"/>
      <c r="F495" s="1"/>
      <c r="G495" s="1"/>
      <c r="H495" s="1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x14ac:dyDescent="0.25">
      <c r="A496" s="1"/>
      <c r="B496" s="1"/>
      <c r="C496" s="1"/>
      <c r="D496" s="1"/>
      <c r="E496" s="1"/>
      <c r="F496" s="1"/>
      <c r="G496" s="1"/>
      <c r="H496" s="1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x14ac:dyDescent="0.25">
      <c r="A497" s="1"/>
      <c r="B497" s="1"/>
      <c r="C497" s="1"/>
      <c r="D497" s="1"/>
      <c r="E497" s="1"/>
      <c r="F497" s="1"/>
      <c r="G497" s="1"/>
      <c r="H497" s="1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x14ac:dyDescent="0.25">
      <c r="A498" s="1"/>
      <c r="B498" s="1"/>
      <c r="C498" s="1"/>
      <c r="D498" s="1"/>
      <c r="E498" s="1"/>
      <c r="F498" s="1"/>
      <c r="G498" s="1"/>
      <c r="H498" s="1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x14ac:dyDescent="0.25">
      <c r="A499" s="1"/>
      <c r="B499" s="1"/>
      <c r="C499" s="1"/>
      <c r="D499" s="1"/>
      <c r="E499" s="1"/>
      <c r="F499" s="1"/>
      <c r="G499" s="1"/>
      <c r="H499" s="1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x14ac:dyDescent="0.25">
      <c r="A500" s="1"/>
      <c r="B500" s="1"/>
      <c r="C500" s="1"/>
      <c r="D500" s="1"/>
      <c r="E500" s="1"/>
      <c r="F500" s="1"/>
      <c r="G500" s="1"/>
      <c r="H500" s="1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x14ac:dyDescent="0.25">
      <c r="A501" s="1"/>
      <c r="B501" s="1"/>
      <c r="C501" s="1"/>
      <c r="D501" s="1"/>
      <c r="E501" s="1"/>
      <c r="F501" s="1"/>
      <c r="G501" s="1"/>
      <c r="H501" s="1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x14ac:dyDescent="0.25">
      <c r="A502" s="1"/>
      <c r="B502" s="1"/>
      <c r="C502" s="1"/>
      <c r="D502" s="1"/>
      <c r="E502" s="1"/>
      <c r="F502" s="1"/>
      <c r="G502" s="1"/>
      <c r="H502" s="1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x14ac:dyDescent="0.25">
      <c r="A503" s="1"/>
      <c r="B503" s="1"/>
      <c r="C503" s="1"/>
      <c r="D503" s="1"/>
      <c r="E503" s="1"/>
      <c r="F503" s="1"/>
      <c r="G503" s="1"/>
      <c r="H503" s="1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x14ac:dyDescent="0.25">
      <c r="A504" s="1"/>
      <c r="B504" s="1"/>
      <c r="C504" s="1"/>
      <c r="D504" s="1"/>
      <c r="E504" s="1"/>
      <c r="F504" s="1"/>
      <c r="G504" s="1"/>
      <c r="H504" s="1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x14ac:dyDescent="0.25">
      <c r="A505" s="1"/>
      <c r="B505" s="1"/>
      <c r="C505" s="1"/>
      <c r="D505" s="1"/>
      <c r="E505" s="1"/>
      <c r="F505" s="1"/>
      <c r="G505" s="1"/>
      <c r="H505" s="1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x14ac:dyDescent="0.25">
      <c r="A506" s="1"/>
      <c r="B506" s="1"/>
      <c r="C506" s="1"/>
      <c r="D506" s="1"/>
      <c r="E506" s="1"/>
      <c r="F506" s="1"/>
      <c r="G506" s="1"/>
      <c r="H506" s="1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x14ac:dyDescent="0.25">
      <c r="A507" s="1"/>
      <c r="B507" s="1"/>
      <c r="C507" s="1"/>
      <c r="D507" s="1"/>
      <c r="E507" s="1"/>
      <c r="F507" s="1"/>
      <c r="G507" s="1"/>
      <c r="H507" s="1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x14ac:dyDescent="0.25">
      <c r="A508" s="1"/>
      <c r="B508" s="1"/>
      <c r="C508" s="1"/>
      <c r="D508" s="1"/>
      <c r="E508" s="1"/>
      <c r="F508" s="1"/>
      <c r="G508" s="1"/>
      <c r="H508" s="1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x14ac:dyDescent="0.25">
      <c r="A509" s="1"/>
      <c r="B509" s="1"/>
      <c r="C509" s="1"/>
      <c r="D509" s="1"/>
      <c r="E509" s="1"/>
      <c r="F509" s="1"/>
      <c r="G509" s="1"/>
      <c r="H509" s="1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x14ac:dyDescent="0.25">
      <c r="A510" s="1"/>
      <c r="B510" s="1"/>
      <c r="C510" s="1"/>
      <c r="D510" s="1"/>
      <c r="E510" s="1"/>
      <c r="F510" s="1"/>
      <c r="G510" s="1"/>
      <c r="H510" s="1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x14ac:dyDescent="0.25">
      <c r="A511" s="1"/>
      <c r="B511" s="1"/>
      <c r="C511" s="1"/>
      <c r="D511" s="1"/>
      <c r="E511" s="1"/>
      <c r="F511" s="1"/>
      <c r="G511" s="1"/>
      <c r="H511" s="1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x14ac:dyDescent="0.25">
      <c r="A512" s="1"/>
      <c r="B512" s="1"/>
      <c r="C512" s="1"/>
      <c r="D512" s="1"/>
      <c r="E512" s="1"/>
      <c r="F512" s="1"/>
      <c r="G512" s="1"/>
      <c r="H512" s="1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x14ac:dyDescent="0.25">
      <c r="A513" s="1"/>
      <c r="B513" s="1"/>
      <c r="C513" s="1"/>
      <c r="D513" s="1"/>
      <c r="E513" s="1"/>
      <c r="F513" s="1"/>
      <c r="G513" s="1"/>
      <c r="H513" s="1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x14ac:dyDescent="0.25">
      <c r="A514" s="1"/>
      <c r="B514" s="1"/>
      <c r="C514" s="1"/>
      <c r="D514" s="1"/>
      <c r="E514" s="1"/>
      <c r="F514" s="1"/>
      <c r="G514" s="1"/>
      <c r="H514" s="1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x14ac:dyDescent="0.25">
      <c r="A515" s="1"/>
      <c r="B515" s="1"/>
      <c r="C515" s="1"/>
      <c r="D515" s="1"/>
      <c r="E515" s="1"/>
      <c r="F515" s="1"/>
      <c r="G515" s="1"/>
      <c r="H515" s="1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x14ac:dyDescent="0.25">
      <c r="A516" s="1"/>
      <c r="B516" s="1"/>
      <c r="C516" s="1"/>
      <c r="D516" s="1"/>
      <c r="E516" s="1"/>
      <c r="F516" s="1"/>
      <c r="G516" s="1"/>
      <c r="H516" s="1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x14ac:dyDescent="0.25">
      <c r="A517" s="1"/>
      <c r="B517" s="1"/>
      <c r="C517" s="1"/>
      <c r="D517" s="1"/>
      <c r="E517" s="1"/>
      <c r="F517" s="1"/>
      <c r="G517" s="1"/>
      <c r="H517" s="1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x14ac:dyDescent="0.25">
      <c r="A518" s="1"/>
      <c r="B518" s="1"/>
      <c r="C518" s="1"/>
      <c r="D518" s="1"/>
      <c r="E518" s="1"/>
      <c r="F518" s="1"/>
      <c r="G518" s="1"/>
      <c r="H518" s="1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x14ac:dyDescent="0.25">
      <c r="A519" s="1"/>
      <c r="B519" s="1"/>
      <c r="C519" s="1"/>
      <c r="D519" s="1"/>
      <c r="E519" s="1"/>
      <c r="F519" s="1"/>
      <c r="G519" s="1"/>
      <c r="H519" s="1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x14ac:dyDescent="0.25">
      <c r="A520" s="1"/>
      <c r="B520" s="1"/>
      <c r="C520" s="1"/>
      <c r="D520" s="1"/>
      <c r="E520" s="1"/>
      <c r="F520" s="1"/>
      <c r="G520" s="1"/>
      <c r="H520" s="1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x14ac:dyDescent="0.25">
      <c r="A521" s="1"/>
      <c r="B521" s="1"/>
      <c r="C521" s="1"/>
      <c r="D521" s="1"/>
      <c r="E521" s="1"/>
      <c r="F521" s="1"/>
      <c r="G521" s="1"/>
      <c r="H521" s="1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x14ac:dyDescent="0.25">
      <c r="A522" s="1"/>
      <c r="B522" s="1"/>
      <c r="C522" s="1"/>
      <c r="D522" s="1"/>
      <c r="E522" s="1"/>
      <c r="F522" s="1"/>
      <c r="G522" s="1"/>
      <c r="H522" s="1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x14ac:dyDescent="0.25">
      <c r="A523" s="1"/>
      <c r="B523" s="1"/>
      <c r="C523" s="1"/>
      <c r="D523" s="1"/>
      <c r="E523" s="1"/>
      <c r="F523" s="1"/>
      <c r="G523" s="1"/>
      <c r="H523" s="1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x14ac:dyDescent="0.25">
      <c r="A524" s="1"/>
      <c r="B524" s="1"/>
      <c r="C524" s="1"/>
      <c r="D524" s="1"/>
      <c r="E524" s="1"/>
      <c r="F524" s="1"/>
      <c r="G524" s="1"/>
      <c r="H524" s="1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x14ac:dyDescent="0.25">
      <c r="A525" s="1"/>
      <c r="B525" s="1"/>
      <c r="C525" s="1"/>
      <c r="D525" s="1"/>
      <c r="E525" s="1"/>
      <c r="F525" s="1"/>
      <c r="G525" s="1"/>
      <c r="H525" s="1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x14ac:dyDescent="0.25">
      <c r="A526" s="1"/>
      <c r="B526" s="1"/>
      <c r="C526" s="1"/>
      <c r="D526" s="1"/>
      <c r="E526" s="1"/>
      <c r="F526" s="1"/>
      <c r="G526" s="1"/>
      <c r="H526" s="1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x14ac:dyDescent="0.25">
      <c r="A527" s="1"/>
      <c r="B527" s="1"/>
      <c r="C527" s="1"/>
      <c r="D527" s="1"/>
      <c r="E527" s="1"/>
      <c r="F527" s="1"/>
      <c r="G527" s="1"/>
      <c r="H527" s="1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x14ac:dyDescent="0.25">
      <c r="A528" s="1"/>
      <c r="B528" s="1"/>
      <c r="C528" s="1"/>
      <c r="D528" s="1"/>
      <c r="E528" s="1"/>
      <c r="F528" s="1"/>
      <c r="G528" s="1"/>
      <c r="H528" s="1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x14ac:dyDescent="0.25">
      <c r="A529" s="1"/>
      <c r="B529" s="1"/>
      <c r="C529" s="1"/>
      <c r="D529" s="1"/>
      <c r="E529" s="1"/>
      <c r="F529" s="1"/>
      <c r="G529" s="1"/>
      <c r="H529" s="1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x14ac:dyDescent="0.25">
      <c r="A530" s="1"/>
      <c r="B530" s="1"/>
      <c r="C530" s="1"/>
      <c r="D530" s="1"/>
      <c r="E530" s="1"/>
      <c r="F530" s="1"/>
      <c r="G530" s="1"/>
      <c r="H530" s="1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x14ac:dyDescent="0.25">
      <c r="A531" s="1"/>
      <c r="B531" s="1"/>
      <c r="C531" s="1"/>
      <c r="D531" s="1"/>
      <c r="E531" s="1"/>
      <c r="F531" s="1"/>
      <c r="G531" s="1"/>
      <c r="H531" s="1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x14ac:dyDescent="0.25">
      <c r="A532" s="1"/>
      <c r="B532" s="1"/>
      <c r="C532" s="1"/>
      <c r="D532" s="1"/>
      <c r="E532" s="1"/>
      <c r="F532" s="1"/>
      <c r="G532" s="1"/>
      <c r="H532" s="1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x14ac:dyDescent="0.25">
      <c r="A533" s="1"/>
      <c r="B533" s="1"/>
      <c r="C533" s="1"/>
      <c r="D533" s="1"/>
      <c r="E533" s="1"/>
      <c r="F533" s="1"/>
      <c r="G533" s="1"/>
      <c r="H533" s="1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x14ac:dyDescent="0.25">
      <c r="A534" s="1"/>
      <c r="B534" s="1"/>
      <c r="C534" s="1"/>
      <c r="D534" s="1"/>
      <c r="E534" s="1"/>
      <c r="F534" s="1"/>
      <c r="G534" s="1"/>
      <c r="H534" s="1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x14ac:dyDescent="0.25">
      <c r="A535" s="1"/>
      <c r="B535" s="1"/>
      <c r="C535" s="1"/>
      <c r="D535" s="1"/>
      <c r="E535" s="1"/>
      <c r="F535" s="1"/>
      <c r="G535" s="1"/>
      <c r="H535" s="1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x14ac:dyDescent="0.25">
      <c r="A536" s="1"/>
      <c r="B536" s="1"/>
      <c r="C536" s="1"/>
      <c r="D536" s="1"/>
      <c r="E536" s="1"/>
      <c r="F536" s="1"/>
      <c r="G536" s="1"/>
      <c r="H536" s="1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x14ac:dyDescent="0.25">
      <c r="A537" s="1"/>
      <c r="B537" s="1"/>
      <c r="C537" s="1"/>
      <c r="D537" s="1"/>
      <c r="E537" s="1"/>
      <c r="F537" s="1"/>
      <c r="G537" s="1"/>
      <c r="H537" s="1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x14ac:dyDescent="0.25">
      <c r="A538" s="1"/>
      <c r="B538" s="1"/>
      <c r="C538" s="1"/>
      <c r="D538" s="1"/>
      <c r="E538" s="1"/>
      <c r="F538" s="1"/>
      <c r="G538" s="1"/>
      <c r="H538" s="1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x14ac:dyDescent="0.25">
      <c r="A539" s="1"/>
      <c r="B539" s="1"/>
      <c r="C539" s="1"/>
      <c r="D539" s="1"/>
      <c r="E539" s="1"/>
      <c r="F539" s="1"/>
      <c r="G539" s="1"/>
      <c r="H539" s="1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x14ac:dyDescent="0.25">
      <c r="A540" s="1"/>
      <c r="B540" s="1"/>
      <c r="C540" s="1"/>
      <c r="D540" s="1"/>
      <c r="E540" s="1"/>
      <c r="F540" s="1"/>
      <c r="G540" s="1"/>
      <c r="H540" s="1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x14ac:dyDescent="0.25">
      <c r="A541" s="1"/>
      <c r="B541" s="1"/>
      <c r="C541" s="1"/>
      <c r="D541" s="1"/>
      <c r="E541" s="1"/>
      <c r="F541" s="1"/>
      <c r="G541" s="1"/>
      <c r="H541" s="1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x14ac:dyDescent="0.25">
      <c r="A542" s="1"/>
      <c r="B542" s="1"/>
      <c r="C542" s="1"/>
      <c r="D542" s="1"/>
      <c r="E542" s="1"/>
      <c r="F542" s="1"/>
      <c r="G542" s="1"/>
      <c r="H542" s="1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x14ac:dyDescent="0.25">
      <c r="A543" s="1"/>
      <c r="B543" s="1"/>
      <c r="C543" s="1"/>
      <c r="D543" s="1"/>
      <c r="E543" s="1"/>
      <c r="F543" s="1"/>
      <c r="G543" s="1"/>
      <c r="H543" s="1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x14ac:dyDescent="0.25">
      <c r="A544" s="1"/>
      <c r="B544" s="1"/>
      <c r="C544" s="1"/>
      <c r="D544" s="1"/>
      <c r="E544" s="1"/>
      <c r="F544" s="1"/>
      <c r="G544" s="1"/>
      <c r="H544" s="1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x14ac:dyDescent="0.25">
      <c r="A545" s="1"/>
      <c r="B545" s="1"/>
      <c r="C545" s="1"/>
      <c r="D545" s="1"/>
      <c r="E545" s="1"/>
      <c r="F545" s="1"/>
      <c r="G545" s="1"/>
      <c r="H545" s="1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x14ac:dyDescent="0.25">
      <c r="A546" s="1"/>
      <c r="B546" s="1"/>
      <c r="C546" s="1"/>
      <c r="D546" s="1"/>
      <c r="E546" s="1"/>
      <c r="F546" s="1"/>
      <c r="G546" s="1"/>
      <c r="H546" s="1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x14ac:dyDescent="0.25">
      <c r="A547" s="1"/>
      <c r="B547" s="1"/>
      <c r="C547" s="1"/>
      <c r="D547" s="1"/>
      <c r="E547" s="1"/>
      <c r="F547" s="1"/>
      <c r="G547" s="1"/>
      <c r="H547" s="1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x14ac:dyDescent="0.25">
      <c r="A548" s="1"/>
      <c r="B548" s="1"/>
      <c r="C548" s="1"/>
      <c r="D548" s="1"/>
      <c r="E548" s="1"/>
      <c r="F548" s="1"/>
      <c r="G548" s="1"/>
      <c r="H548" s="1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x14ac:dyDescent="0.25">
      <c r="A549" s="1"/>
      <c r="B549" s="1"/>
      <c r="C549" s="1"/>
      <c r="D549" s="1"/>
      <c r="E549" s="1"/>
      <c r="F549" s="1"/>
      <c r="G549" s="1"/>
      <c r="H549" s="1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x14ac:dyDescent="0.25">
      <c r="A550" s="1"/>
      <c r="B550" s="1"/>
      <c r="C550" s="1"/>
      <c r="D550" s="1"/>
      <c r="E550" s="1"/>
      <c r="F550" s="1"/>
      <c r="G550" s="1"/>
      <c r="H550" s="1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x14ac:dyDescent="0.25">
      <c r="A551" s="1"/>
      <c r="B551" s="1"/>
      <c r="C551" s="1"/>
      <c r="D551" s="1"/>
      <c r="E551" s="1"/>
      <c r="F551" s="1"/>
      <c r="G551" s="1"/>
      <c r="H551" s="1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x14ac:dyDescent="0.25">
      <c r="A552" s="1"/>
      <c r="B552" s="1"/>
      <c r="C552" s="1"/>
      <c r="D552" s="1"/>
      <c r="E552" s="1"/>
      <c r="F552" s="1"/>
      <c r="G552" s="1"/>
      <c r="H552" s="1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x14ac:dyDescent="0.25">
      <c r="A553" s="1"/>
      <c r="B553" s="1"/>
      <c r="C553" s="1"/>
      <c r="D553" s="1"/>
      <c r="E553" s="1"/>
      <c r="F553" s="1"/>
      <c r="G553" s="1"/>
      <c r="H553" s="1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x14ac:dyDescent="0.25">
      <c r="A554" s="1"/>
      <c r="B554" s="1"/>
      <c r="C554" s="1"/>
      <c r="D554" s="1"/>
      <c r="E554" s="1"/>
      <c r="F554" s="1"/>
      <c r="G554" s="1"/>
      <c r="H554" s="1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x14ac:dyDescent="0.25">
      <c r="A555" s="1"/>
      <c r="B555" s="1"/>
      <c r="C555" s="1"/>
      <c r="D555" s="1"/>
      <c r="E555" s="1"/>
      <c r="F555" s="1"/>
      <c r="G555" s="1"/>
      <c r="H555" s="1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x14ac:dyDescent="0.25">
      <c r="A556" s="1"/>
      <c r="B556" s="1"/>
      <c r="C556" s="1"/>
      <c r="D556" s="1"/>
      <c r="E556" s="1"/>
      <c r="F556" s="1"/>
      <c r="G556" s="1"/>
      <c r="H556" s="1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x14ac:dyDescent="0.25">
      <c r="A557" s="1"/>
      <c r="B557" s="1"/>
      <c r="C557" s="1"/>
      <c r="D557" s="1"/>
      <c r="E557" s="1"/>
      <c r="F557" s="1"/>
      <c r="G557" s="1"/>
      <c r="H557" s="1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x14ac:dyDescent="0.25">
      <c r="A558" s="1"/>
      <c r="B558" s="1"/>
      <c r="C558" s="1"/>
      <c r="D558" s="1"/>
      <c r="E558" s="1"/>
      <c r="F558" s="1"/>
      <c r="G558" s="1"/>
      <c r="H558" s="1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x14ac:dyDescent="0.25">
      <c r="A559" s="1"/>
      <c r="B559" s="1"/>
      <c r="C559" s="1"/>
      <c r="D559" s="1"/>
      <c r="E559" s="1"/>
      <c r="F559" s="1"/>
      <c r="G559" s="1"/>
      <c r="H559" s="1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x14ac:dyDescent="0.25">
      <c r="A560" s="1"/>
      <c r="B560" s="1"/>
      <c r="C560" s="1"/>
      <c r="D560" s="1"/>
      <c r="E560" s="1"/>
      <c r="F560" s="1"/>
      <c r="G560" s="1"/>
      <c r="H560" s="1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x14ac:dyDescent="0.25">
      <c r="A561" s="1"/>
      <c r="B561" s="1"/>
      <c r="C561" s="1"/>
      <c r="D561" s="1"/>
      <c r="E561" s="1"/>
      <c r="F561" s="1"/>
      <c r="G561" s="1"/>
      <c r="H561" s="1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x14ac:dyDescent="0.25">
      <c r="A562" s="1"/>
      <c r="B562" s="1"/>
      <c r="C562" s="1"/>
      <c r="D562" s="1"/>
      <c r="E562" s="1"/>
      <c r="F562" s="1"/>
      <c r="G562" s="1"/>
      <c r="H562" s="1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x14ac:dyDescent="0.25">
      <c r="A563" s="1"/>
      <c r="B563" s="1"/>
      <c r="C563" s="1"/>
      <c r="D563" s="1"/>
      <c r="E563" s="1"/>
      <c r="F563" s="1"/>
      <c r="G563" s="1"/>
      <c r="H563" s="1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x14ac:dyDescent="0.25">
      <c r="A564" s="1"/>
      <c r="B564" s="1"/>
      <c r="C564" s="1"/>
      <c r="D564" s="1"/>
      <c r="E564" s="1"/>
      <c r="F564" s="1"/>
      <c r="G564" s="1"/>
      <c r="H564" s="1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x14ac:dyDescent="0.25">
      <c r="A565" s="1"/>
      <c r="B565" s="1"/>
      <c r="C565" s="1"/>
      <c r="D565" s="1"/>
      <c r="E565" s="1"/>
      <c r="F565" s="1"/>
      <c r="G565" s="1"/>
      <c r="H565" s="1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x14ac:dyDescent="0.25">
      <c r="A566" s="1"/>
      <c r="B566" s="1"/>
      <c r="C566" s="1"/>
      <c r="D566" s="1"/>
      <c r="E566" s="1"/>
      <c r="F566" s="1"/>
      <c r="G566" s="1"/>
      <c r="H566" s="1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x14ac:dyDescent="0.25">
      <c r="A567" s="1"/>
      <c r="B567" s="1"/>
      <c r="C567" s="1"/>
      <c r="D567" s="1"/>
      <c r="E567" s="1"/>
      <c r="F567" s="1"/>
      <c r="G567" s="1"/>
      <c r="H567" s="1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x14ac:dyDescent="0.25">
      <c r="A568" s="1"/>
      <c r="B568" s="1"/>
      <c r="C568" s="1"/>
      <c r="D568" s="1"/>
      <c r="E568" s="1"/>
      <c r="F568" s="1"/>
      <c r="G568" s="1"/>
      <c r="H568" s="1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x14ac:dyDescent="0.25">
      <c r="A569" s="1"/>
      <c r="B569" s="1"/>
      <c r="C569" s="1"/>
      <c r="D569" s="1"/>
      <c r="E569" s="1"/>
      <c r="F569" s="1"/>
      <c r="G569" s="1"/>
      <c r="H569" s="1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x14ac:dyDescent="0.25">
      <c r="A570" s="1"/>
      <c r="B570" s="1"/>
      <c r="C570" s="1"/>
      <c r="D570" s="1"/>
      <c r="E570" s="1"/>
      <c r="F570" s="1"/>
      <c r="G570" s="1"/>
      <c r="H570" s="1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x14ac:dyDescent="0.25">
      <c r="A571" s="1"/>
      <c r="B571" s="1"/>
      <c r="C571" s="1"/>
      <c r="D571" s="1"/>
      <c r="E571" s="1"/>
      <c r="F571" s="1"/>
      <c r="G571" s="1"/>
      <c r="H571" s="1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x14ac:dyDescent="0.25">
      <c r="A572" s="1"/>
      <c r="B572" s="1"/>
      <c r="C572" s="1"/>
      <c r="D572" s="1"/>
      <c r="E572" s="1"/>
      <c r="F572" s="1"/>
      <c r="G572" s="1"/>
      <c r="H572" s="1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x14ac:dyDescent="0.25">
      <c r="A573" s="1"/>
      <c r="B573" s="1"/>
      <c r="C573" s="1"/>
      <c r="D573" s="1"/>
      <c r="E573" s="1"/>
      <c r="F573" s="1"/>
      <c r="G573" s="1"/>
      <c r="H573" s="1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x14ac:dyDescent="0.25">
      <c r="A574" s="1"/>
      <c r="B574" s="1"/>
      <c r="C574" s="1"/>
      <c r="D574" s="1"/>
      <c r="E574" s="1"/>
      <c r="F574" s="1"/>
      <c r="G574" s="1"/>
      <c r="H574" s="1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x14ac:dyDescent="0.25">
      <c r="A575" s="1"/>
      <c r="B575" s="1"/>
      <c r="C575" s="1"/>
      <c r="D575" s="1"/>
      <c r="E575" s="1"/>
      <c r="F575" s="1"/>
      <c r="G575" s="1"/>
      <c r="H575" s="1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x14ac:dyDescent="0.25">
      <c r="A576" s="1"/>
      <c r="B576" s="1"/>
      <c r="C576" s="1"/>
      <c r="D576" s="1"/>
      <c r="E576" s="1"/>
      <c r="F576" s="1"/>
      <c r="G576" s="1"/>
      <c r="H576" s="1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x14ac:dyDescent="0.25">
      <c r="A577" s="1"/>
      <c r="B577" s="1"/>
      <c r="C577" s="1"/>
      <c r="D577" s="1"/>
      <c r="E577" s="1"/>
      <c r="F577" s="1"/>
      <c r="G577" s="1"/>
      <c r="H577" s="1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x14ac:dyDescent="0.25">
      <c r="A578" s="1"/>
      <c r="B578" s="1"/>
      <c r="C578" s="1"/>
      <c r="D578" s="1"/>
      <c r="E578" s="1"/>
      <c r="F578" s="1"/>
      <c r="G578" s="1"/>
      <c r="H578" s="1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x14ac:dyDescent="0.25">
      <c r="A579" s="1"/>
      <c r="B579" s="1"/>
      <c r="C579" s="1"/>
      <c r="D579" s="1"/>
      <c r="E579" s="1"/>
      <c r="F579" s="1"/>
      <c r="G579" s="1"/>
      <c r="H579" s="1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x14ac:dyDescent="0.25">
      <c r="A580" s="1"/>
      <c r="B580" s="1"/>
      <c r="C580" s="1"/>
      <c r="D580" s="1"/>
      <c r="E580" s="1"/>
      <c r="F580" s="1"/>
      <c r="G580" s="1"/>
      <c r="H580" s="1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x14ac:dyDescent="0.25">
      <c r="A581" s="1"/>
      <c r="B581" s="1"/>
      <c r="C581" s="1"/>
      <c r="D581" s="1"/>
      <c r="E581" s="1"/>
      <c r="F581" s="1"/>
      <c r="G581" s="1"/>
      <c r="H581" s="1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x14ac:dyDescent="0.25">
      <c r="A582" s="1"/>
      <c r="B582" s="1"/>
      <c r="C582" s="1"/>
      <c r="D582" s="1"/>
      <c r="E582" s="1"/>
      <c r="F582" s="1"/>
      <c r="G582" s="1"/>
      <c r="H582" s="1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x14ac:dyDescent="0.25">
      <c r="A583" s="1"/>
      <c r="B583" s="1"/>
      <c r="C583" s="1"/>
      <c r="D583" s="1"/>
      <c r="E583" s="1"/>
      <c r="F583" s="1"/>
      <c r="G583" s="1"/>
      <c r="H583" s="1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x14ac:dyDescent="0.25">
      <c r="A584" s="1"/>
      <c r="B584" s="1"/>
      <c r="C584" s="1"/>
      <c r="D584" s="1"/>
      <c r="E584" s="1"/>
      <c r="F584" s="1"/>
      <c r="G584" s="1"/>
      <c r="H584" s="1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x14ac:dyDescent="0.25">
      <c r="A585" s="1"/>
      <c r="B585" s="1"/>
      <c r="C585" s="1"/>
      <c r="D585" s="1"/>
      <c r="E585" s="1"/>
      <c r="F585" s="1"/>
      <c r="G585" s="1"/>
      <c r="H585" s="1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x14ac:dyDescent="0.25">
      <c r="A586" s="1"/>
      <c r="B586" s="1"/>
      <c r="C586" s="1"/>
      <c r="D586" s="1"/>
      <c r="E586" s="1"/>
      <c r="F586" s="1"/>
      <c r="G586" s="1"/>
      <c r="H586" s="1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x14ac:dyDescent="0.25">
      <c r="A587" s="1"/>
      <c r="B587" s="1"/>
      <c r="C587" s="1"/>
      <c r="D587" s="1"/>
      <c r="E587" s="1"/>
      <c r="F587" s="1"/>
      <c r="G587" s="1"/>
      <c r="H587" s="1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x14ac:dyDescent="0.25">
      <c r="A588" s="1"/>
      <c r="B588" s="1"/>
      <c r="C588" s="1"/>
      <c r="D588" s="1"/>
      <c r="E588" s="1"/>
      <c r="F588" s="1"/>
      <c r="G588" s="1"/>
      <c r="H588" s="1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x14ac:dyDescent="0.25">
      <c r="A589" s="1"/>
      <c r="B589" s="1"/>
      <c r="C589" s="1"/>
      <c r="D589" s="1"/>
      <c r="E589" s="1"/>
      <c r="F589" s="1"/>
      <c r="G589" s="1"/>
      <c r="H589" s="1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x14ac:dyDescent="0.25">
      <c r="A590" s="1"/>
      <c r="B590" s="1"/>
      <c r="C590" s="1"/>
      <c r="D590" s="1"/>
      <c r="E590" s="1"/>
      <c r="F590" s="1"/>
      <c r="G590" s="1"/>
      <c r="H590" s="1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x14ac:dyDescent="0.25">
      <c r="A591" s="1"/>
      <c r="B591" s="1"/>
      <c r="C591" s="1"/>
      <c r="D591" s="1"/>
      <c r="E591" s="1"/>
      <c r="F591" s="1"/>
      <c r="G591" s="1"/>
      <c r="H591" s="1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x14ac:dyDescent="0.25">
      <c r="A592" s="1"/>
      <c r="B592" s="1"/>
      <c r="C592" s="1"/>
      <c r="D592" s="1"/>
      <c r="E592" s="1"/>
      <c r="F592" s="1"/>
      <c r="G592" s="1"/>
      <c r="H592" s="1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x14ac:dyDescent="0.25">
      <c r="A593" s="1"/>
      <c r="B593" s="1"/>
      <c r="C593" s="1"/>
      <c r="D593" s="1"/>
      <c r="E593" s="1"/>
      <c r="F593" s="1"/>
      <c r="G593" s="1"/>
      <c r="H593" s="1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x14ac:dyDescent="0.25">
      <c r="A594" s="1"/>
      <c r="B594" s="1"/>
      <c r="C594" s="1"/>
      <c r="D594" s="1"/>
      <c r="E594" s="1"/>
      <c r="F594" s="1"/>
      <c r="G594" s="1"/>
      <c r="H594" s="1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x14ac:dyDescent="0.25">
      <c r="A595" s="1"/>
      <c r="B595" s="1"/>
      <c r="C595" s="1"/>
      <c r="D595" s="1"/>
      <c r="E595" s="1"/>
      <c r="F595" s="1"/>
      <c r="G595" s="1"/>
      <c r="H595" s="1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x14ac:dyDescent="0.25">
      <c r="A596" s="1"/>
      <c r="B596" s="1"/>
      <c r="C596" s="1"/>
      <c r="D596" s="1"/>
      <c r="E596" s="1"/>
      <c r="F596" s="1"/>
      <c r="G596" s="1"/>
      <c r="H596" s="1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x14ac:dyDescent="0.25">
      <c r="A597" s="1"/>
      <c r="B597" s="1"/>
      <c r="C597" s="1"/>
      <c r="D597" s="1"/>
      <c r="E597" s="1"/>
      <c r="F597" s="1"/>
      <c r="G597" s="1"/>
      <c r="H597" s="1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x14ac:dyDescent="0.25">
      <c r="A598" s="1"/>
      <c r="B598" s="1"/>
      <c r="C598" s="1"/>
      <c r="D598" s="1"/>
      <c r="E598" s="1"/>
      <c r="F598" s="1"/>
      <c r="G598" s="1"/>
      <c r="H598" s="1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x14ac:dyDescent="0.25">
      <c r="A599" s="1"/>
      <c r="B599" s="1"/>
      <c r="C599" s="1"/>
      <c r="D599" s="1"/>
      <c r="E599" s="1"/>
      <c r="F599" s="1"/>
      <c r="G599" s="1"/>
      <c r="H599" s="1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x14ac:dyDescent="0.25">
      <c r="A600" s="1"/>
      <c r="B600" s="1"/>
      <c r="C600" s="1"/>
      <c r="D600" s="1"/>
      <c r="E600" s="1"/>
      <c r="F600" s="1"/>
      <c r="G600" s="1"/>
      <c r="H600" s="1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x14ac:dyDescent="0.25">
      <c r="A601" s="1"/>
      <c r="B601" s="1"/>
      <c r="C601" s="1"/>
      <c r="D601" s="1"/>
      <c r="E601" s="1"/>
      <c r="F601" s="1"/>
      <c r="G601" s="1"/>
      <c r="H601" s="1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x14ac:dyDescent="0.25">
      <c r="A602" s="1"/>
      <c r="B602" s="1"/>
      <c r="C602" s="1"/>
      <c r="D602" s="1"/>
      <c r="E602" s="1"/>
      <c r="F602" s="1"/>
      <c r="G602" s="1"/>
      <c r="H602" s="1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x14ac:dyDescent="0.25">
      <c r="A603" s="1"/>
      <c r="B603" s="1"/>
      <c r="C603" s="1"/>
      <c r="D603" s="1"/>
      <c r="E603" s="1"/>
      <c r="F603" s="1"/>
      <c r="G603" s="1"/>
      <c r="H603" s="1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x14ac:dyDescent="0.25">
      <c r="A604" s="1"/>
      <c r="B604" s="1"/>
      <c r="C604" s="1"/>
      <c r="D604" s="1"/>
      <c r="E604" s="1"/>
      <c r="F604" s="1"/>
      <c r="G604" s="1"/>
      <c r="H604" s="1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x14ac:dyDescent="0.25">
      <c r="A605" s="1"/>
      <c r="B605" s="1"/>
      <c r="C605" s="1"/>
      <c r="D605" s="1"/>
      <c r="E605" s="1"/>
      <c r="F605" s="1"/>
      <c r="G605" s="1"/>
      <c r="H605" s="1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x14ac:dyDescent="0.25">
      <c r="A606" s="1"/>
      <c r="B606" s="1"/>
      <c r="C606" s="1"/>
      <c r="D606" s="1"/>
      <c r="E606" s="1"/>
      <c r="F606" s="1"/>
      <c r="G606" s="1"/>
      <c r="H606" s="1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x14ac:dyDescent="0.25">
      <c r="A607" s="1"/>
      <c r="B607" s="1"/>
      <c r="C607" s="1"/>
      <c r="D607" s="1"/>
      <c r="E607" s="1"/>
      <c r="F607" s="1"/>
      <c r="G607" s="1"/>
      <c r="H607" s="1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x14ac:dyDescent="0.25">
      <c r="A608" s="1"/>
      <c r="B608" s="1"/>
      <c r="C608" s="1"/>
      <c r="D608" s="1"/>
      <c r="E608" s="1"/>
      <c r="F608" s="1"/>
      <c r="G608" s="1"/>
      <c r="H608" s="1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x14ac:dyDescent="0.25">
      <c r="A609" s="1"/>
      <c r="B609" s="1"/>
      <c r="C609" s="1"/>
      <c r="D609" s="1"/>
      <c r="E609" s="1"/>
      <c r="F609" s="1"/>
      <c r="G609" s="1"/>
      <c r="H609" s="1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x14ac:dyDescent="0.25">
      <c r="A610" s="1"/>
      <c r="B610" s="1"/>
      <c r="C610" s="1"/>
      <c r="D610" s="1"/>
      <c r="E610" s="1"/>
      <c r="F610" s="1"/>
      <c r="G610" s="1"/>
      <c r="H610" s="1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x14ac:dyDescent="0.25">
      <c r="A611" s="1"/>
      <c r="B611" s="1"/>
      <c r="C611" s="1"/>
      <c r="D611" s="1"/>
      <c r="E611" s="1"/>
      <c r="F611" s="1"/>
      <c r="G611" s="1"/>
      <c r="H611" s="1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x14ac:dyDescent="0.25">
      <c r="A612" s="1"/>
      <c r="B612" s="1"/>
      <c r="C612" s="1"/>
      <c r="D612" s="1"/>
      <c r="E612" s="1"/>
      <c r="F612" s="1"/>
      <c r="G612" s="1"/>
      <c r="H612" s="1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x14ac:dyDescent="0.25">
      <c r="A613" s="1"/>
      <c r="B613" s="1"/>
      <c r="C613" s="1"/>
      <c r="D613" s="1"/>
      <c r="E613" s="1"/>
      <c r="F613" s="1"/>
      <c r="G613" s="1"/>
      <c r="H613" s="1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x14ac:dyDescent="0.25">
      <c r="A614" s="1"/>
      <c r="B614" s="1"/>
      <c r="C614" s="1"/>
      <c r="D614" s="1"/>
      <c r="E614" s="1"/>
      <c r="F614" s="1"/>
      <c r="G614" s="1"/>
      <c r="H614" s="1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x14ac:dyDescent="0.25">
      <c r="A615" s="1"/>
      <c r="B615" s="1"/>
      <c r="C615" s="1"/>
      <c r="D615" s="1"/>
      <c r="E615" s="1"/>
      <c r="F615" s="1"/>
      <c r="G615" s="1"/>
      <c r="H615" s="1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x14ac:dyDescent="0.25">
      <c r="A616" s="1"/>
      <c r="B616" s="1"/>
      <c r="C616" s="1"/>
      <c r="D616" s="1"/>
      <c r="E616" s="1"/>
      <c r="F616" s="1"/>
      <c r="G616" s="1"/>
      <c r="H616" s="1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x14ac:dyDescent="0.25">
      <c r="A617" s="1"/>
      <c r="B617" s="1"/>
      <c r="C617" s="1"/>
      <c r="D617" s="1"/>
      <c r="E617" s="1"/>
      <c r="F617" s="1"/>
      <c r="G617" s="1"/>
      <c r="H617" s="1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x14ac:dyDescent="0.25">
      <c r="A618" s="1"/>
      <c r="B618" s="1"/>
      <c r="C618" s="1"/>
      <c r="D618" s="1"/>
      <c r="E618" s="1"/>
      <c r="F618" s="1"/>
      <c r="G618" s="1"/>
      <c r="H618" s="1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x14ac:dyDescent="0.25">
      <c r="A619" s="1"/>
      <c r="B619" s="1"/>
      <c r="C619" s="1"/>
      <c r="D619" s="1"/>
      <c r="E619" s="1"/>
      <c r="F619" s="1"/>
      <c r="G619" s="1"/>
      <c r="H619" s="1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x14ac:dyDescent="0.25">
      <c r="A620" s="1"/>
      <c r="B620" s="1"/>
      <c r="C620" s="1"/>
      <c r="D620" s="1"/>
      <c r="E620" s="1"/>
      <c r="F620" s="1"/>
      <c r="G620" s="1"/>
      <c r="H620" s="1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x14ac:dyDescent="0.25">
      <c r="A621" s="1"/>
      <c r="B621" s="1"/>
      <c r="C621" s="1"/>
      <c r="D621" s="1"/>
      <c r="E621" s="1"/>
      <c r="F621" s="1"/>
      <c r="G621" s="1"/>
      <c r="H621" s="1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x14ac:dyDescent="0.25">
      <c r="A622" s="1"/>
      <c r="B622" s="1"/>
      <c r="C622" s="1"/>
      <c r="D622" s="1"/>
      <c r="E622" s="1"/>
      <c r="F622" s="1"/>
      <c r="G622" s="1"/>
      <c r="H622" s="1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x14ac:dyDescent="0.25">
      <c r="A623" s="1"/>
      <c r="B623" s="1"/>
      <c r="C623" s="1"/>
      <c r="D623" s="1"/>
      <c r="E623" s="1"/>
      <c r="F623" s="1"/>
      <c r="G623" s="1"/>
      <c r="H623" s="1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x14ac:dyDescent="0.25">
      <c r="A624" s="1"/>
      <c r="B624" s="1"/>
      <c r="C624" s="1"/>
      <c r="D624" s="1"/>
      <c r="E624" s="1"/>
      <c r="F624" s="1"/>
      <c r="G624" s="1"/>
      <c r="H624" s="1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x14ac:dyDescent="0.25">
      <c r="A625" s="1"/>
      <c r="B625" s="1"/>
      <c r="C625" s="1"/>
      <c r="D625" s="1"/>
      <c r="E625" s="1"/>
      <c r="F625" s="1"/>
      <c r="G625" s="1"/>
      <c r="H625" s="1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x14ac:dyDescent="0.25">
      <c r="A626" s="1"/>
      <c r="B626" s="1"/>
      <c r="C626" s="1"/>
      <c r="D626" s="1"/>
      <c r="E626" s="1"/>
      <c r="F626" s="1"/>
      <c r="G626" s="1"/>
      <c r="H626" s="1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x14ac:dyDescent="0.25">
      <c r="A627" s="1"/>
      <c r="B627" s="1"/>
      <c r="C627" s="1"/>
      <c r="D627" s="1"/>
      <c r="E627" s="1"/>
      <c r="F627" s="1"/>
      <c r="G627" s="1"/>
      <c r="H627" s="1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x14ac:dyDescent="0.25">
      <c r="A628" s="1"/>
      <c r="B628" s="1"/>
      <c r="C628" s="1"/>
      <c r="D628" s="1"/>
      <c r="E628" s="1"/>
      <c r="F628" s="1"/>
      <c r="G628" s="1"/>
      <c r="H628" s="1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x14ac:dyDescent="0.25">
      <c r="A629" s="1"/>
      <c r="B629" s="1"/>
      <c r="C629" s="1"/>
      <c r="D629" s="1"/>
      <c r="E629" s="1"/>
      <c r="F629" s="1"/>
      <c r="G629" s="1"/>
      <c r="H629" s="1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x14ac:dyDescent="0.25">
      <c r="A630" s="1"/>
      <c r="B630" s="1"/>
      <c r="C630" s="1"/>
      <c r="D630" s="1"/>
      <c r="E630" s="1"/>
      <c r="F630" s="1"/>
      <c r="G630" s="1"/>
      <c r="H630" s="1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x14ac:dyDescent="0.25">
      <c r="A631" s="1"/>
      <c r="B631" s="1"/>
      <c r="C631" s="1"/>
      <c r="D631" s="1"/>
      <c r="E631" s="1"/>
      <c r="F631" s="1"/>
      <c r="G631" s="1"/>
      <c r="H631" s="1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x14ac:dyDescent="0.25">
      <c r="A632" s="1"/>
      <c r="B632" s="1"/>
      <c r="C632" s="1"/>
      <c r="D632" s="1"/>
      <c r="E632" s="1"/>
      <c r="F632" s="1"/>
      <c r="G632" s="1"/>
      <c r="H632" s="1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x14ac:dyDescent="0.25">
      <c r="A633" s="1"/>
      <c r="B633" s="1"/>
      <c r="C633" s="1"/>
      <c r="D633" s="1"/>
      <c r="E633" s="1"/>
      <c r="F633" s="1"/>
      <c r="G633" s="1"/>
      <c r="H633" s="1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x14ac:dyDescent="0.25">
      <c r="A634" s="1"/>
      <c r="B634" s="1"/>
      <c r="C634" s="1"/>
      <c r="D634" s="1"/>
      <c r="E634" s="1"/>
      <c r="F634" s="1"/>
      <c r="G634" s="1"/>
      <c r="H634" s="1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x14ac:dyDescent="0.25">
      <c r="A635" s="1"/>
      <c r="B635" s="1"/>
      <c r="C635" s="1"/>
      <c r="D635" s="1"/>
      <c r="E635" s="1"/>
      <c r="F635" s="1"/>
      <c r="G635" s="1"/>
      <c r="H635" s="1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x14ac:dyDescent="0.25">
      <c r="A636" s="1"/>
      <c r="B636" s="1"/>
      <c r="C636" s="1"/>
      <c r="D636" s="1"/>
      <c r="E636" s="1"/>
      <c r="F636" s="1"/>
      <c r="G636" s="1"/>
      <c r="H636" s="1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x14ac:dyDescent="0.25">
      <c r="A637" s="1"/>
      <c r="B637" s="1"/>
      <c r="C637" s="1"/>
      <c r="D637" s="1"/>
      <c r="E637" s="1"/>
      <c r="F637" s="1"/>
      <c r="G637" s="1"/>
      <c r="H637" s="1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x14ac:dyDescent="0.25">
      <c r="A638" s="1"/>
      <c r="B638" s="1"/>
      <c r="C638" s="1"/>
      <c r="D638" s="1"/>
      <c r="E638" s="1"/>
      <c r="F638" s="1"/>
      <c r="G638" s="1"/>
      <c r="H638" s="1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x14ac:dyDescent="0.25">
      <c r="A639" s="1"/>
      <c r="B639" s="1"/>
      <c r="C639" s="1"/>
      <c r="D639" s="1"/>
      <c r="E639" s="1"/>
      <c r="F639" s="1"/>
      <c r="G639" s="1"/>
      <c r="H639" s="1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x14ac:dyDescent="0.25">
      <c r="A640" s="1"/>
      <c r="B640" s="1"/>
      <c r="C640" s="1"/>
      <c r="D640" s="1"/>
      <c r="E640" s="1"/>
      <c r="F640" s="1"/>
      <c r="G640" s="1"/>
      <c r="H640" s="1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x14ac:dyDescent="0.25">
      <c r="A641" s="1"/>
      <c r="B641" s="1"/>
      <c r="C641" s="1"/>
      <c r="D641" s="1"/>
      <c r="E641" s="1"/>
      <c r="F641" s="1"/>
      <c r="G641" s="1"/>
      <c r="H641" s="1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x14ac:dyDescent="0.25">
      <c r="A642" s="1"/>
      <c r="B642" s="1"/>
      <c r="C642" s="1"/>
      <c r="D642" s="1"/>
      <c r="E642" s="1"/>
      <c r="F642" s="1"/>
      <c r="G642" s="1"/>
      <c r="H642" s="1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x14ac:dyDescent="0.25">
      <c r="A643" s="1"/>
      <c r="B643" s="1"/>
      <c r="C643" s="1"/>
      <c r="D643" s="1"/>
      <c r="E643" s="1"/>
      <c r="F643" s="1"/>
      <c r="G643" s="1"/>
      <c r="H643" s="1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x14ac:dyDescent="0.25">
      <c r="A644" s="1"/>
      <c r="B644" s="1"/>
      <c r="C644" s="1"/>
      <c r="D644" s="1"/>
      <c r="E644" s="1"/>
      <c r="F644" s="1"/>
      <c r="G644" s="1"/>
      <c r="H644" s="1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x14ac:dyDescent="0.25">
      <c r="A645" s="1"/>
      <c r="B645" s="1"/>
      <c r="C645" s="1"/>
      <c r="D645" s="1"/>
      <c r="E645" s="1"/>
      <c r="F645" s="1"/>
      <c r="G645" s="1"/>
      <c r="H645" s="1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x14ac:dyDescent="0.25">
      <c r="A646" s="1"/>
      <c r="B646" s="1"/>
      <c r="C646" s="1"/>
      <c r="D646" s="1"/>
      <c r="E646" s="1"/>
      <c r="F646" s="1"/>
      <c r="G646" s="1"/>
      <c r="H646" s="1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x14ac:dyDescent="0.25">
      <c r="A647" s="1"/>
      <c r="B647" s="1"/>
      <c r="C647" s="1"/>
      <c r="D647" s="1"/>
      <c r="E647" s="1"/>
      <c r="F647" s="1"/>
      <c r="G647" s="1"/>
      <c r="H647" s="1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x14ac:dyDescent="0.25">
      <c r="A648" s="1"/>
      <c r="B648" s="1"/>
      <c r="C648" s="1"/>
      <c r="D648" s="1"/>
      <c r="E648" s="1"/>
      <c r="F648" s="1"/>
      <c r="G648" s="1"/>
      <c r="H648" s="1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x14ac:dyDescent="0.25">
      <c r="A649" s="1"/>
      <c r="B649" s="1"/>
      <c r="C649" s="1"/>
      <c r="D649" s="1"/>
      <c r="E649" s="1"/>
      <c r="F649" s="1"/>
      <c r="G649" s="1"/>
      <c r="H649" s="1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x14ac:dyDescent="0.25">
      <c r="A650" s="1"/>
      <c r="B650" s="1"/>
      <c r="C650" s="1"/>
      <c r="D650" s="1"/>
      <c r="E650" s="1"/>
      <c r="F650" s="1"/>
      <c r="G650" s="1"/>
      <c r="H650" s="1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x14ac:dyDescent="0.25">
      <c r="A651" s="1"/>
      <c r="B651" s="1"/>
      <c r="C651" s="1"/>
      <c r="D651" s="1"/>
      <c r="E651" s="1"/>
      <c r="F651" s="1"/>
      <c r="G651" s="1"/>
      <c r="H651" s="1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x14ac:dyDescent="0.25">
      <c r="A652" s="1"/>
      <c r="B652" s="1"/>
      <c r="C652" s="1"/>
      <c r="D652" s="1"/>
      <c r="E652" s="1"/>
      <c r="F652" s="1"/>
      <c r="G652" s="1"/>
      <c r="H652" s="1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x14ac:dyDescent="0.25">
      <c r="A653" s="1"/>
      <c r="B653" s="1"/>
      <c r="C653" s="1"/>
      <c r="D653" s="1"/>
      <c r="E653" s="1"/>
      <c r="F653" s="1"/>
      <c r="G653" s="1"/>
      <c r="H653" s="1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x14ac:dyDescent="0.25">
      <c r="A654" s="1"/>
      <c r="B654" s="1"/>
      <c r="C654" s="1"/>
      <c r="D654" s="1"/>
      <c r="E654" s="1"/>
      <c r="F654" s="1"/>
      <c r="G654" s="1"/>
      <c r="H654" s="1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x14ac:dyDescent="0.25">
      <c r="A655" s="1"/>
      <c r="B655" s="1"/>
      <c r="C655" s="1"/>
      <c r="D655" s="1"/>
      <c r="E655" s="1"/>
      <c r="F655" s="1"/>
      <c r="G655" s="1"/>
      <c r="H655" s="1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x14ac:dyDescent="0.25">
      <c r="A656" s="1"/>
      <c r="B656" s="1"/>
      <c r="C656" s="1"/>
      <c r="D656" s="1"/>
      <c r="E656" s="1"/>
      <c r="F656" s="1"/>
      <c r="G656" s="1"/>
      <c r="H656" s="1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x14ac:dyDescent="0.25">
      <c r="A657" s="1"/>
      <c r="B657" s="1"/>
      <c r="C657" s="1"/>
      <c r="D657" s="1"/>
      <c r="E657" s="1"/>
      <c r="F657" s="1"/>
      <c r="G657" s="1"/>
      <c r="H657" s="1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x14ac:dyDescent="0.25">
      <c r="A658" s="1"/>
      <c r="B658" s="1"/>
      <c r="C658" s="1"/>
      <c r="D658" s="1"/>
      <c r="E658" s="1"/>
      <c r="F658" s="1"/>
      <c r="G658" s="1"/>
      <c r="H658" s="1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x14ac:dyDescent="0.25">
      <c r="A659" s="1"/>
      <c r="B659" s="1"/>
      <c r="C659" s="1"/>
      <c r="D659" s="1"/>
      <c r="E659" s="1"/>
      <c r="F659" s="1"/>
      <c r="G659" s="1"/>
      <c r="H659" s="1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x14ac:dyDescent="0.25">
      <c r="A660" s="1"/>
      <c r="B660" s="1"/>
      <c r="C660" s="1"/>
      <c r="D660" s="1"/>
      <c r="E660" s="1"/>
      <c r="F660" s="1"/>
      <c r="G660" s="1"/>
      <c r="H660" s="1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x14ac:dyDescent="0.25">
      <c r="A661" s="1"/>
      <c r="B661" s="1"/>
      <c r="C661" s="1"/>
      <c r="D661" s="1"/>
      <c r="E661" s="1"/>
      <c r="F661" s="1"/>
      <c r="G661" s="1"/>
      <c r="H661" s="1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x14ac:dyDescent="0.25">
      <c r="A662" s="1"/>
      <c r="B662" s="1"/>
      <c r="C662" s="1"/>
      <c r="D662" s="1"/>
      <c r="E662" s="1"/>
      <c r="F662" s="1"/>
      <c r="G662" s="1"/>
      <c r="H662" s="1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x14ac:dyDescent="0.25">
      <c r="A663" s="1"/>
      <c r="B663" s="1"/>
      <c r="C663" s="1"/>
      <c r="D663" s="1"/>
      <c r="E663" s="1"/>
      <c r="F663" s="1"/>
      <c r="G663" s="1"/>
      <c r="H663" s="1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x14ac:dyDescent="0.25">
      <c r="A664" s="1"/>
      <c r="B664" s="1"/>
      <c r="C664" s="1"/>
      <c r="D664" s="1"/>
      <c r="E664" s="1"/>
      <c r="F664" s="1"/>
      <c r="G664" s="1"/>
      <c r="H664" s="1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x14ac:dyDescent="0.25">
      <c r="A665" s="1"/>
      <c r="B665" s="1"/>
      <c r="C665" s="1"/>
      <c r="D665" s="1"/>
      <c r="E665" s="1"/>
      <c r="F665" s="1"/>
      <c r="G665" s="1"/>
      <c r="H665" s="1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x14ac:dyDescent="0.25">
      <c r="A666" s="1"/>
      <c r="B666" s="1"/>
      <c r="C666" s="1"/>
      <c r="D666" s="1"/>
      <c r="E666" s="1"/>
      <c r="F666" s="1"/>
      <c r="G666" s="1"/>
      <c r="H666" s="1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x14ac:dyDescent="0.25">
      <c r="A667" s="1"/>
      <c r="B667" s="1"/>
      <c r="C667" s="1"/>
      <c r="D667" s="1"/>
      <c r="E667" s="1"/>
      <c r="F667" s="1"/>
      <c r="G667" s="1"/>
      <c r="H667" s="1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x14ac:dyDescent="0.25">
      <c r="A668" s="1"/>
      <c r="B668" s="1"/>
      <c r="C668" s="1"/>
      <c r="D668" s="1"/>
      <c r="E668" s="1"/>
      <c r="F668" s="1"/>
      <c r="G668" s="1"/>
      <c r="H668" s="1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x14ac:dyDescent="0.25">
      <c r="A669" s="1"/>
      <c r="B669" s="1"/>
      <c r="C669" s="1"/>
      <c r="D669" s="1"/>
      <c r="E669" s="1"/>
      <c r="F669" s="1"/>
      <c r="G669" s="1"/>
      <c r="H669" s="1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x14ac:dyDescent="0.25">
      <c r="A670" s="1"/>
      <c r="B670" s="1"/>
      <c r="C670" s="1"/>
      <c r="D670" s="1"/>
      <c r="E670" s="1"/>
      <c r="F670" s="1"/>
      <c r="G670" s="1"/>
      <c r="H670" s="1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x14ac:dyDescent="0.25">
      <c r="A671" s="1"/>
      <c r="B671" s="1"/>
      <c r="C671" s="1"/>
      <c r="D671" s="1"/>
      <c r="E671" s="1"/>
      <c r="F671" s="1"/>
      <c r="G671" s="1"/>
      <c r="H671" s="1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x14ac:dyDescent="0.25">
      <c r="A672" s="1"/>
      <c r="B672" s="1"/>
      <c r="C672" s="1"/>
      <c r="D672" s="1"/>
      <c r="E672" s="1"/>
      <c r="F672" s="1"/>
      <c r="G672" s="1"/>
      <c r="H672" s="1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x14ac:dyDescent="0.25">
      <c r="A673" s="1"/>
      <c r="B673" s="1"/>
      <c r="C673" s="1"/>
      <c r="D673" s="1"/>
      <c r="E673" s="1"/>
      <c r="F673" s="1"/>
      <c r="G673" s="1"/>
      <c r="H673" s="1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x14ac:dyDescent="0.25">
      <c r="A674" s="1"/>
      <c r="B674" s="1"/>
      <c r="C674" s="1"/>
      <c r="D674" s="1"/>
      <c r="E674" s="1"/>
      <c r="F674" s="1"/>
      <c r="G674" s="1"/>
      <c r="H674" s="1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x14ac:dyDescent="0.25">
      <c r="A675" s="1"/>
      <c r="B675" s="1"/>
      <c r="C675" s="1"/>
      <c r="D675" s="1"/>
      <c r="E675" s="1"/>
      <c r="F675" s="1"/>
      <c r="G675" s="1"/>
      <c r="H675" s="1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x14ac:dyDescent="0.25">
      <c r="A676" s="1"/>
      <c r="B676" s="1"/>
      <c r="C676" s="1"/>
      <c r="D676" s="1"/>
      <c r="E676" s="1"/>
      <c r="F676" s="1"/>
      <c r="G676" s="1"/>
      <c r="H676" s="1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x14ac:dyDescent="0.25">
      <c r="A677" s="1"/>
      <c r="B677" s="1"/>
      <c r="C677" s="1"/>
      <c r="D677" s="1"/>
      <c r="E677" s="1"/>
      <c r="F677" s="1"/>
      <c r="G677" s="1"/>
      <c r="H677" s="1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x14ac:dyDescent="0.25">
      <c r="A678" s="1"/>
      <c r="B678" s="1"/>
      <c r="C678" s="1"/>
      <c r="D678" s="1"/>
      <c r="E678" s="1"/>
      <c r="F678" s="1"/>
      <c r="G678" s="1"/>
      <c r="H678" s="1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x14ac:dyDescent="0.25">
      <c r="A679" s="1"/>
      <c r="B679" s="1"/>
      <c r="C679" s="1"/>
      <c r="D679" s="1"/>
      <c r="E679" s="1"/>
      <c r="F679" s="1"/>
      <c r="G679" s="1"/>
      <c r="H679" s="1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x14ac:dyDescent="0.25">
      <c r="A680" s="1"/>
      <c r="B680" s="1"/>
      <c r="C680" s="1"/>
      <c r="D680" s="1"/>
      <c r="E680" s="1"/>
      <c r="F680" s="1"/>
      <c r="G680" s="1"/>
      <c r="H680" s="1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x14ac:dyDescent="0.25">
      <c r="A681" s="1"/>
      <c r="B681" s="1"/>
      <c r="C681" s="1"/>
      <c r="D681" s="1"/>
      <c r="E681" s="1"/>
      <c r="F681" s="1"/>
      <c r="G681" s="1"/>
      <c r="H681" s="1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x14ac:dyDescent="0.25">
      <c r="A682" s="1"/>
      <c r="B682" s="1"/>
      <c r="C682" s="1"/>
      <c r="D682" s="1"/>
      <c r="E682" s="1"/>
      <c r="F682" s="1"/>
      <c r="G682" s="1"/>
      <c r="H682" s="1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x14ac:dyDescent="0.25">
      <c r="A683" s="1"/>
      <c r="B683" s="1"/>
      <c r="C683" s="1"/>
      <c r="D683" s="1"/>
      <c r="E683" s="1"/>
      <c r="F683" s="1"/>
      <c r="G683" s="1"/>
      <c r="H683" s="1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x14ac:dyDescent="0.25">
      <c r="A684" s="1"/>
      <c r="B684" s="1"/>
      <c r="C684" s="1"/>
      <c r="D684" s="1"/>
      <c r="E684" s="1"/>
      <c r="F684" s="1"/>
      <c r="G684" s="1"/>
      <c r="H684" s="1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x14ac:dyDescent="0.25">
      <c r="A685" s="1"/>
      <c r="B685" s="1"/>
      <c r="C685" s="1"/>
      <c r="D685" s="1"/>
      <c r="E685" s="1"/>
      <c r="F685" s="1"/>
      <c r="G685" s="1"/>
      <c r="H685" s="1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x14ac:dyDescent="0.25">
      <c r="A686" s="1"/>
      <c r="B686" s="1"/>
      <c r="C686" s="1"/>
      <c r="D686" s="1"/>
      <c r="E686" s="1"/>
      <c r="F686" s="1"/>
      <c r="G686" s="1"/>
      <c r="H686" s="1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x14ac:dyDescent="0.25">
      <c r="A687" s="1"/>
      <c r="B687" s="1"/>
      <c r="C687" s="1"/>
      <c r="D687" s="1"/>
      <c r="E687" s="1"/>
      <c r="F687" s="1"/>
      <c r="G687" s="1"/>
      <c r="H687" s="1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x14ac:dyDescent="0.25">
      <c r="A688" s="1"/>
      <c r="B688" s="1"/>
      <c r="C688" s="1"/>
      <c r="D688" s="1"/>
      <c r="E688" s="1"/>
      <c r="F688" s="1"/>
      <c r="G688" s="1"/>
      <c r="H688" s="1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x14ac:dyDescent="0.25">
      <c r="A689" s="1"/>
      <c r="B689" s="1"/>
      <c r="C689" s="1"/>
      <c r="D689" s="1"/>
      <c r="E689" s="1"/>
      <c r="F689" s="1"/>
      <c r="G689" s="1"/>
      <c r="H689" s="1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x14ac:dyDescent="0.25">
      <c r="A690" s="1"/>
      <c r="B690" s="1"/>
      <c r="C690" s="1"/>
      <c r="D690" s="1"/>
      <c r="E690" s="1"/>
      <c r="F690" s="1"/>
      <c r="G690" s="1"/>
      <c r="H690" s="1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x14ac:dyDescent="0.25">
      <c r="A691" s="1"/>
      <c r="B691" s="1"/>
      <c r="C691" s="1"/>
      <c r="D691" s="1"/>
      <c r="E691" s="1"/>
      <c r="F691" s="1"/>
      <c r="G691" s="1"/>
      <c r="H691" s="1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x14ac:dyDescent="0.25">
      <c r="A692" s="1"/>
      <c r="B692" s="1"/>
      <c r="C692" s="1"/>
      <c r="D692" s="1"/>
      <c r="E692" s="1"/>
      <c r="F692" s="1"/>
      <c r="G692" s="1"/>
      <c r="H692" s="1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x14ac:dyDescent="0.25">
      <c r="A693" s="1"/>
      <c r="B693" s="1"/>
      <c r="C693" s="1"/>
      <c r="D693" s="1"/>
      <c r="E693" s="1"/>
      <c r="F693" s="1"/>
      <c r="G693" s="1"/>
      <c r="H693" s="1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x14ac:dyDescent="0.25">
      <c r="A694" s="1"/>
      <c r="B694" s="1"/>
      <c r="C694" s="1"/>
      <c r="D694" s="1"/>
      <c r="E694" s="1"/>
      <c r="F694" s="1"/>
      <c r="G694" s="1"/>
      <c r="H694" s="1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x14ac:dyDescent="0.25">
      <c r="A695" s="1"/>
      <c r="B695" s="1"/>
      <c r="C695" s="1"/>
      <c r="D695" s="1"/>
      <c r="E695" s="1"/>
      <c r="F695" s="1"/>
      <c r="G695" s="1"/>
      <c r="H695" s="1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x14ac:dyDescent="0.25">
      <c r="A696" s="1"/>
      <c r="B696" s="1"/>
      <c r="C696" s="1"/>
      <c r="D696" s="1"/>
      <c r="E696" s="1"/>
      <c r="F696" s="1"/>
      <c r="G696" s="1"/>
      <c r="H696" s="1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x14ac:dyDescent="0.25">
      <c r="A697" s="1"/>
      <c r="B697" s="1"/>
      <c r="C697" s="1"/>
      <c r="D697" s="1"/>
      <c r="E697" s="1"/>
      <c r="F697" s="1"/>
      <c r="G697" s="1"/>
      <c r="H697" s="1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x14ac:dyDescent="0.25">
      <c r="A698" s="1"/>
      <c r="B698" s="1"/>
      <c r="C698" s="1"/>
      <c r="D698" s="1"/>
      <c r="E698" s="1"/>
      <c r="F698" s="1"/>
      <c r="G698" s="1"/>
      <c r="H698" s="1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x14ac:dyDescent="0.25">
      <c r="A699" s="1"/>
      <c r="B699" s="1"/>
      <c r="C699" s="1"/>
      <c r="D699" s="1"/>
      <c r="E699" s="1"/>
      <c r="F699" s="1"/>
      <c r="G699" s="1"/>
      <c r="H699" s="1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x14ac:dyDescent="0.25">
      <c r="A700" s="1"/>
      <c r="B700" s="1"/>
      <c r="C700" s="1"/>
      <c r="D700" s="1"/>
      <c r="E700" s="1"/>
      <c r="F700" s="1"/>
      <c r="G700" s="1"/>
      <c r="H700" s="1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x14ac:dyDescent="0.25">
      <c r="A701" s="1"/>
      <c r="B701" s="1"/>
      <c r="C701" s="1"/>
      <c r="D701" s="1"/>
      <c r="E701" s="1"/>
      <c r="F701" s="1"/>
      <c r="G701" s="1"/>
      <c r="H701" s="1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x14ac:dyDescent="0.25">
      <c r="A702" s="1"/>
      <c r="B702" s="1"/>
      <c r="C702" s="1"/>
      <c r="D702" s="1"/>
      <c r="E702" s="1"/>
      <c r="F702" s="1"/>
      <c r="G702" s="1"/>
      <c r="H702" s="1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x14ac:dyDescent="0.25">
      <c r="A703" s="1"/>
      <c r="B703" s="1"/>
      <c r="C703" s="1"/>
      <c r="D703" s="1"/>
      <c r="E703" s="1"/>
      <c r="F703" s="1"/>
      <c r="G703" s="1"/>
      <c r="H703" s="1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x14ac:dyDescent="0.25">
      <c r="A704" s="1"/>
      <c r="B704" s="1"/>
      <c r="C704" s="1"/>
      <c r="D704" s="1"/>
      <c r="E704" s="1"/>
      <c r="F704" s="1"/>
      <c r="G704" s="1"/>
      <c r="H704" s="1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x14ac:dyDescent="0.25">
      <c r="A705" s="1"/>
      <c r="B705" s="1"/>
      <c r="C705" s="1"/>
      <c r="D705" s="1"/>
      <c r="E705" s="1"/>
      <c r="F705" s="1"/>
      <c r="G705" s="1"/>
      <c r="H705" s="1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x14ac:dyDescent="0.25">
      <c r="A706" s="1"/>
      <c r="B706" s="1"/>
      <c r="C706" s="1"/>
      <c r="D706" s="1"/>
      <c r="E706" s="1"/>
      <c r="F706" s="1"/>
      <c r="G706" s="1"/>
      <c r="H706" s="1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x14ac:dyDescent="0.25">
      <c r="A707" s="1"/>
      <c r="B707" s="1"/>
      <c r="C707" s="1"/>
      <c r="D707" s="1"/>
      <c r="E707" s="1"/>
      <c r="F707" s="1"/>
      <c r="G707" s="1"/>
      <c r="H707" s="1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x14ac:dyDescent="0.25">
      <c r="A708" s="1"/>
      <c r="B708" s="1"/>
      <c r="C708" s="1"/>
      <c r="D708" s="1"/>
      <c r="E708" s="1"/>
      <c r="F708" s="1"/>
      <c r="G708" s="1"/>
      <c r="H708" s="1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x14ac:dyDescent="0.25">
      <c r="A709" s="1"/>
      <c r="B709" s="1"/>
      <c r="C709" s="1"/>
      <c r="D709" s="1"/>
      <c r="E709" s="1"/>
      <c r="F709" s="1"/>
      <c r="G709" s="1"/>
      <c r="H709" s="1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x14ac:dyDescent="0.25">
      <c r="A710" s="1"/>
      <c r="B710" s="1"/>
      <c r="C710" s="1"/>
      <c r="D710" s="1"/>
      <c r="E710" s="1"/>
      <c r="F710" s="1"/>
      <c r="G710" s="1"/>
      <c r="H710" s="1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x14ac:dyDescent="0.25">
      <c r="A711" s="1"/>
      <c r="B711" s="1"/>
      <c r="C711" s="1"/>
      <c r="D711" s="1"/>
      <c r="E711" s="1"/>
      <c r="F711" s="1"/>
      <c r="G711" s="1"/>
      <c r="H711" s="1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x14ac:dyDescent="0.25">
      <c r="A712" s="1"/>
      <c r="B712" s="1"/>
      <c r="C712" s="1"/>
      <c r="D712" s="1"/>
      <c r="E712" s="1"/>
      <c r="F712" s="1"/>
      <c r="G712" s="1"/>
      <c r="H712" s="1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x14ac:dyDescent="0.25">
      <c r="A713" s="1"/>
      <c r="B713" s="1"/>
      <c r="C713" s="1"/>
      <c r="D713" s="1"/>
      <c r="E713" s="1"/>
      <c r="F713" s="1"/>
      <c r="G713" s="1"/>
      <c r="H713" s="1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x14ac:dyDescent="0.25">
      <c r="A714" s="1"/>
      <c r="B714" s="1"/>
      <c r="C714" s="1"/>
      <c r="D714" s="1"/>
      <c r="E714" s="1"/>
      <c r="F714" s="1"/>
      <c r="G714" s="1"/>
      <c r="H714" s="1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x14ac:dyDescent="0.25">
      <c r="A715" s="1"/>
      <c r="B715" s="1"/>
      <c r="C715" s="1"/>
      <c r="D715" s="1"/>
      <c r="E715" s="1"/>
      <c r="F715" s="1"/>
      <c r="G715" s="1"/>
      <c r="H715" s="1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x14ac:dyDescent="0.25">
      <c r="A716" s="1"/>
      <c r="B716" s="1"/>
      <c r="C716" s="1"/>
      <c r="D716" s="1"/>
      <c r="E716" s="1"/>
      <c r="F716" s="1"/>
      <c r="G716" s="1"/>
      <c r="H716" s="1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x14ac:dyDescent="0.25">
      <c r="A717" s="1"/>
      <c r="B717" s="1"/>
      <c r="C717" s="1"/>
      <c r="D717" s="1"/>
      <c r="E717" s="1"/>
      <c r="F717" s="1"/>
      <c r="G717" s="1"/>
      <c r="H717" s="1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x14ac:dyDescent="0.25">
      <c r="A718" s="1"/>
      <c r="B718" s="1"/>
      <c r="C718" s="1"/>
      <c r="D718" s="1"/>
      <c r="E718" s="1"/>
      <c r="F718" s="1"/>
      <c r="G718" s="1"/>
      <c r="H718" s="1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x14ac:dyDescent="0.25">
      <c r="A719" s="1"/>
      <c r="B719" s="1"/>
      <c r="C719" s="1"/>
      <c r="D719" s="1"/>
      <c r="E719" s="1"/>
      <c r="F719" s="1"/>
      <c r="G719" s="1"/>
      <c r="H719" s="1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x14ac:dyDescent="0.25">
      <c r="A720" s="1"/>
      <c r="B720" s="1"/>
      <c r="C720" s="1"/>
      <c r="D720" s="1"/>
      <c r="E720" s="1"/>
      <c r="F720" s="1"/>
      <c r="G720" s="1"/>
      <c r="H720" s="1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x14ac:dyDescent="0.25">
      <c r="A721" s="1"/>
      <c r="B721" s="1"/>
      <c r="C721" s="1"/>
      <c r="D721" s="1"/>
      <c r="E721" s="1"/>
      <c r="F721" s="1"/>
      <c r="G721" s="1"/>
      <c r="H721" s="1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x14ac:dyDescent="0.25">
      <c r="A722" s="1"/>
      <c r="B722" s="1"/>
      <c r="C722" s="1"/>
      <c r="D722" s="1"/>
      <c r="E722" s="1"/>
      <c r="F722" s="1"/>
      <c r="G722" s="1"/>
      <c r="H722" s="1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x14ac:dyDescent="0.25">
      <c r="A723" s="1"/>
      <c r="B723" s="1"/>
      <c r="C723" s="1"/>
      <c r="D723" s="1"/>
      <c r="E723" s="1"/>
      <c r="F723" s="1"/>
      <c r="G723" s="1"/>
      <c r="H723" s="1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x14ac:dyDescent="0.25">
      <c r="A724" s="1"/>
      <c r="B724" s="1"/>
      <c r="C724" s="1"/>
      <c r="D724" s="1"/>
      <c r="E724" s="1"/>
      <c r="F724" s="1"/>
      <c r="G724" s="1"/>
      <c r="H724" s="1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x14ac:dyDescent="0.25">
      <c r="A725" s="1"/>
      <c r="B725" s="1"/>
      <c r="C725" s="1"/>
      <c r="D725" s="1"/>
      <c r="E725" s="1"/>
      <c r="F725" s="1"/>
      <c r="G725" s="1"/>
      <c r="H725" s="1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x14ac:dyDescent="0.25">
      <c r="A726" s="1"/>
      <c r="B726" s="1"/>
      <c r="C726" s="1"/>
      <c r="D726" s="1"/>
      <c r="E726" s="1"/>
      <c r="F726" s="1"/>
      <c r="G726" s="1"/>
      <c r="H726" s="1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x14ac:dyDescent="0.25">
      <c r="A727" s="1"/>
      <c r="B727" s="1"/>
      <c r="C727" s="1"/>
      <c r="D727" s="1"/>
      <c r="E727" s="1"/>
      <c r="F727" s="1"/>
      <c r="G727" s="1"/>
      <c r="H727" s="1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x14ac:dyDescent="0.25">
      <c r="A728" s="1"/>
      <c r="B728" s="1"/>
      <c r="C728" s="1"/>
      <c r="D728" s="1"/>
      <c r="E728" s="1"/>
      <c r="F728" s="1"/>
      <c r="G728" s="1"/>
      <c r="H728" s="1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x14ac:dyDescent="0.25">
      <c r="A729" s="1"/>
      <c r="B729" s="1"/>
      <c r="C729" s="1"/>
      <c r="D729" s="1"/>
      <c r="E729" s="1"/>
      <c r="F729" s="1"/>
      <c r="G729" s="1"/>
      <c r="H729" s="1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x14ac:dyDescent="0.25">
      <c r="A730" s="1"/>
      <c r="B730" s="1"/>
      <c r="C730" s="1"/>
      <c r="D730" s="1"/>
      <c r="E730" s="1"/>
      <c r="F730" s="1"/>
      <c r="G730" s="1"/>
      <c r="H730" s="1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x14ac:dyDescent="0.25">
      <c r="A731" s="1"/>
      <c r="B731" s="1"/>
      <c r="C731" s="1"/>
      <c r="D731" s="1"/>
      <c r="E731" s="1"/>
      <c r="F731" s="1"/>
      <c r="G731" s="1"/>
      <c r="H731" s="1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x14ac:dyDescent="0.25">
      <c r="A732" s="1"/>
      <c r="B732" s="1"/>
      <c r="C732" s="1"/>
      <c r="D732" s="1"/>
      <c r="E732" s="1"/>
      <c r="F732" s="1"/>
      <c r="G732" s="1"/>
      <c r="H732" s="1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x14ac:dyDescent="0.25">
      <c r="A733" s="1"/>
      <c r="B733" s="1"/>
      <c r="C733" s="1"/>
      <c r="D733" s="1"/>
      <c r="E733" s="1"/>
      <c r="F733" s="1"/>
      <c r="G733" s="1"/>
      <c r="H733" s="1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x14ac:dyDescent="0.25">
      <c r="A734" s="1"/>
      <c r="B734" s="1"/>
      <c r="C734" s="1"/>
      <c r="D734" s="1"/>
      <c r="E734" s="1"/>
      <c r="F734" s="1"/>
      <c r="G734" s="1"/>
      <c r="H734" s="1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x14ac:dyDescent="0.25">
      <c r="A735" s="1"/>
      <c r="B735" s="1"/>
      <c r="C735" s="1"/>
      <c r="D735" s="1"/>
      <c r="E735" s="1"/>
      <c r="F735" s="1"/>
      <c r="G735" s="1"/>
      <c r="H735" s="1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x14ac:dyDescent="0.25">
      <c r="A736" s="1"/>
      <c r="B736" s="1"/>
      <c r="C736" s="1"/>
      <c r="D736" s="1"/>
      <c r="E736" s="1"/>
      <c r="F736" s="1"/>
      <c r="G736" s="1"/>
      <c r="H736" s="1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x14ac:dyDescent="0.25">
      <c r="A737" s="1"/>
      <c r="B737" s="1"/>
      <c r="C737" s="1"/>
      <c r="D737" s="1"/>
      <c r="E737" s="1"/>
      <c r="F737" s="1"/>
      <c r="G737" s="1"/>
      <c r="H737" s="1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x14ac:dyDescent="0.25">
      <c r="A738" s="1"/>
      <c r="B738" s="1"/>
      <c r="C738" s="1"/>
      <c r="D738" s="1"/>
      <c r="E738" s="1"/>
      <c r="F738" s="1"/>
      <c r="G738" s="1"/>
      <c r="H738" s="1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x14ac:dyDescent="0.25">
      <c r="A739" s="1"/>
      <c r="B739" s="1"/>
      <c r="C739" s="1"/>
      <c r="D739" s="1"/>
      <c r="E739" s="1"/>
      <c r="F739" s="1"/>
      <c r="G739" s="1"/>
      <c r="H739" s="1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x14ac:dyDescent="0.25">
      <c r="A740" s="1"/>
      <c r="B740" s="1"/>
      <c r="C740" s="1"/>
      <c r="D740" s="1"/>
      <c r="E740" s="1"/>
      <c r="F740" s="1"/>
      <c r="G740" s="1"/>
      <c r="H740" s="1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x14ac:dyDescent="0.25">
      <c r="A741" s="1"/>
      <c r="B741" s="1"/>
      <c r="C741" s="1"/>
      <c r="D741" s="1"/>
      <c r="E741" s="1"/>
      <c r="F741" s="1"/>
      <c r="G741" s="1"/>
      <c r="H741" s="1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x14ac:dyDescent="0.25">
      <c r="A742" s="1"/>
      <c r="B742" s="1"/>
      <c r="C742" s="1"/>
      <c r="D742" s="1"/>
      <c r="E742" s="1"/>
      <c r="F742" s="1"/>
      <c r="G742" s="1"/>
      <c r="H742" s="1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x14ac:dyDescent="0.25">
      <c r="A743" s="1"/>
      <c r="B743" s="1"/>
      <c r="C743" s="1"/>
      <c r="D743" s="1"/>
      <c r="E743" s="1"/>
      <c r="F743" s="1"/>
      <c r="G743" s="1"/>
      <c r="H743" s="1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x14ac:dyDescent="0.25">
      <c r="A744" s="1"/>
      <c r="B744" s="1"/>
      <c r="C744" s="1"/>
      <c r="D744" s="1"/>
      <c r="E744" s="1"/>
      <c r="F744" s="1"/>
      <c r="G744" s="1"/>
      <c r="H744" s="1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x14ac:dyDescent="0.25">
      <c r="A745" s="1"/>
      <c r="B745" s="1"/>
      <c r="C745" s="1"/>
      <c r="D745" s="1"/>
      <c r="E745" s="1"/>
      <c r="F745" s="1"/>
      <c r="G745" s="1"/>
      <c r="H745" s="1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x14ac:dyDescent="0.25">
      <c r="A746" s="1"/>
      <c r="B746" s="1"/>
      <c r="C746" s="1"/>
      <c r="D746" s="1"/>
      <c r="E746" s="1"/>
      <c r="F746" s="1"/>
      <c r="G746" s="1"/>
      <c r="H746" s="1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x14ac:dyDescent="0.25">
      <c r="A747" s="1"/>
      <c r="B747" s="1"/>
      <c r="C747" s="1"/>
      <c r="D747" s="1"/>
      <c r="E747" s="1"/>
      <c r="F747" s="1"/>
      <c r="G747" s="1"/>
      <c r="H747" s="1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x14ac:dyDescent="0.25">
      <c r="A748" s="1"/>
      <c r="B748" s="1"/>
      <c r="C748" s="1"/>
      <c r="D748" s="1"/>
      <c r="E748" s="1"/>
      <c r="F748" s="1"/>
      <c r="G748" s="1"/>
      <c r="H748" s="1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x14ac:dyDescent="0.25">
      <c r="A749" s="1"/>
      <c r="B749" s="1"/>
      <c r="C749" s="1"/>
      <c r="D749" s="1"/>
      <c r="E749" s="1"/>
      <c r="F749" s="1"/>
      <c r="G749" s="1"/>
      <c r="H749" s="1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x14ac:dyDescent="0.25">
      <c r="A750" s="1"/>
      <c r="B750" s="1"/>
      <c r="C750" s="1"/>
      <c r="D750" s="1"/>
      <c r="E750" s="1"/>
      <c r="F750" s="1"/>
      <c r="G750" s="1"/>
      <c r="H750" s="1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x14ac:dyDescent="0.25">
      <c r="A751" s="1"/>
      <c r="B751" s="1"/>
      <c r="C751" s="1"/>
      <c r="D751" s="1"/>
      <c r="E751" s="1"/>
      <c r="F751" s="1"/>
      <c r="G751" s="1"/>
      <c r="H751" s="1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x14ac:dyDescent="0.25">
      <c r="A752" s="1"/>
      <c r="B752" s="1"/>
      <c r="C752" s="1"/>
      <c r="D752" s="1"/>
      <c r="E752" s="1"/>
      <c r="F752" s="1"/>
      <c r="G752" s="1"/>
      <c r="H752" s="1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x14ac:dyDescent="0.25">
      <c r="A753" s="1"/>
      <c r="B753" s="1"/>
      <c r="C753" s="1"/>
      <c r="D753" s="1"/>
      <c r="E753" s="1"/>
      <c r="F753" s="1"/>
      <c r="G753" s="1"/>
      <c r="H753" s="1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x14ac:dyDescent="0.25">
      <c r="A754" s="1"/>
      <c r="B754" s="1"/>
      <c r="C754" s="1"/>
      <c r="D754" s="1"/>
      <c r="E754" s="1"/>
      <c r="F754" s="1"/>
      <c r="G754" s="1"/>
      <c r="H754" s="1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x14ac:dyDescent="0.25">
      <c r="A755" s="1"/>
      <c r="B755" s="1"/>
      <c r="C755" s="1"/>
      <c r="D755" s="1"/>
      <c r="E755" s="1"/>
      <c r="F755" s="1"/>
      <c r="G755" s="1"/>
      <c r="H755" s="1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x14ac:dyDescent="0.25">
      <c r="A756" s="1"/>
      <c r="B756" s="1"/>
      <c r="C756" s="1"/>
      <c r="D756" s="1"/>
      <c r="E756" s="1"/>
      <c r="F756" s="1"/>
      <c r="G756" s="1"/>
      <c r="H756" s="1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x14ac:dyDescent="0.25">
      <c r="A757" s="1"/>
      <c r="B757" s="1"/>
      <c r="C757" s="1"/>
      <c r="D757" s="1"/>
      <c r="E757" s="1"/>
      <c r="F757" s="1"/>
      <c r="G757" s="1"/>
      <c r="H757" s="1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x14ac:dyDescent="0.25">
      <c r="A758" s="1"/>
      <c r="B758" s="1"/>
      <c r="C758" s="1"/>
      <c r="D758" s="1"/>
      <c r="E758" s="1"/>
      <c r="F758" s="1"/>
      <c r="G758" s="1"/>
      <c r="H758" s="1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x14ac:dyDescent="0.25">
      <c r="A759" s="1"/>
      <c r="B759" s="1"/>
      <c r="C759" s="1"/>
      <c r="D759" s="1"/>
      <c r="E759" s="1"/>
      <c r="F759" s="1"/>
      <c r="G759" s="1"/>
      <c r="H759" s="1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x14ac:dyDescent="0.25">
      <c r="A760" s="1"/>
      <c r="B760" s="1"/>
      <c r="C760" s="1"/>
      <c r="D760" s="1"/>
      <c r="E760" s="1"/>
      <c r="F760" s="1"/>
      <c r="G760" s="1"/>
      <c r="H760" s="1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x14ac:dyDescent="0.25">
      <c r="A761" s="1"/>
      <c r="B761" s="1"/>
      <c r="C761" s="1"/>
      <c r="D761" s="1"/>
      <c r="E761" s="1"/>
      <c r="F761" s="1"/>
      <c r="G761" s="1"/>
      <c r="H761" s="1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x14ac:dyDescent="0.25">
      <c r="A762" s="1"/>
      <c r="B762" s="1"/>
      <c r="C762" s="1"/>
      <c r="D762" s="1"/>
      <c r="E762" s="1"/>
      <c r="F762" s="1"/>
      <c r="G762" s="1"/>
      <c r="H762" s="1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x14ac:dyDescent="0.25">
      <c r="A763" s="1"/>
      <c r="B763" s="1"/>
      <c r="C763" s="1"/>
      <c r="D763" s="1"/>
      <c r="E763" s="1"/>
      <c r="F763" s="1"/>
      <c r="G763" s="1"/>
      <c r="H763" s="1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x14ac:dyDescent="0.25">
      <c r="A764" s="1"/>
      <c r="B764" s="1"/>
      <c r="C764" s="1"/>
      <c r="D764" s="1"/>
      <c r="E764" s="1"/>
      <c r="F764" s="1"/>
      <c r="G764" s="1"/>
      <c r="H764" s="1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x14ac:dyDescent="0.25">
      <c r="A765" s="1"/>
      <c r="B765" s="1"/>
      <c r="C765" s="1"/>
      <c r="D765" s="1"/>
      <c r="E765" s="1"/>
      <c r="F765" s="1"/>
      <c r="G765" s="1"/>
      <c r="H765" s="1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x14ac:dyDescent="0.25">
      <c r="A766" s="1"/>
      <c r="B766" s="1"/>
      <c r="C766" s="1"/>
      <c r="D766" s="1"/>
      <c r="E766" s="1"/>
      <c r="F766" s="1"/>
      <c r="G766" s="1"/>
      <c r="H766" s="1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x14ac:dyDescent="0.25">
      <c r="A767" s="1"/>
      <c r="B767" s="1"/>
      <c r="C767" s="1"/>
      <c r="D767" s="1"/>
      <c r="E767" s="1"/>
      <c r="F767" s="1"/>
      <c r="G767" s="1"/>
      <c r="H767" s="1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x14ac:dyDescent="0.25">
      <c r="A768" s="1"/>
      <c r="B768" s="1"/>
      <c r="C768" s="1"/>
      <c r="D768" s="1"/>
      <c r="E768" s="1"/>
      <c r="F768" s="1"/>
      <c r="G768" s="1"/>
      <c r="H768" s="1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x14ac:dyDescent="0.25">
      <c r="A769" s="1"/>
      <c r="B769" s="1"/>
      <c r="C769" s="1"/>
      <c r="D769" s="1"/>
      <c r="E769" s="1"/>
      <c r="F769" s="1"/>
      <c r="G769" s="1"/>
      <c r="H769" s="1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x14ac:dyDescent="0.25">
      <c r="A770" s="1"/>
      <c r="B770" s="1"/>
      <c r="C770" s="1"/>
      <c r="D770" s="1"/>
      <c r="E770" s="1"/>
      <c r="F770" s="1"/>
      <c r="G770" s="1"/>
      <c r="H770" s="1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x14ac:dyDescent="0.25">
      <c r="A771" s="1"/>
      <c r="B771" s="1"/>
      <c r="C771" s="1"/>
      <c r="D771" s="1"/>
      <c r="E771" s="1"/>
      <c r="F771" s="1"/>
      <c r="G771" s="1"/>
      <c r="H771" s="1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x14ac:dyDescent="0.25">
      <c r="A772" s="1"/>
      <c r="B772" s="1"/>
      <c r="C772" s="1"/>
      <c r="D772" s="1"/>
      <c r="E772" s="1"/>
      <c r="F772" s="1"/>
      <c r="G772" s="1"/>
      <c r="H772" s="1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x14ac:dyDescent="0.25">
      <c r="A773" s="1"/>
      <c r="B773" s="1"/>
      <c r="C773" s="1"/>
      <c r="D773" s="1"/>
      <c r="E773" s="1"/>
      <c r="F773" s="1"/>
      <c r="G773" s="1"/>
      <c r="H773" s="1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x14ac:dyDescent="0.25">
      <c r="A774" s="1"/>
      <c r="B774" s="1"/>
      <c r="C774" s="1"/>
      <c r="D774" s="1"/>
      <c r="E774" s="1"/>
      <c r="F774" s="1"/>
      <c r="G774" s="1"/>
      <c r="H774" s="1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x14ac:dyDescent="0.25">
      <c r="A775" s="1"/>
      <c r="B775" s="1"/>
      <c r="C775" s="1"/>
      <c r="D775" s="1"/>
      <c r="E775" s="1"/>
      <c r="F775" s="1"/>
      <c r="G775" s="1"/>
      <c r="H775" s="1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x14ac:dyDescent="0.25">
      <c r="A776" s="1"/>
      <c r="B776" s="1"/>
      <c r="C776" s="1"/>
      <c r="D776" s="1"/>
      <c r="E776" s="1"/>
      <c r="F776" s="1"/>
      <c r="G776" s="1"/>
      <c r="H776" s="1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x14ac:dyDescent="0.25">
      <c r="A777" s="1"/>
      <c r="B777" s="1"/>
      <c r="C777" s="1"/>
      <c r="D777" s="1"/>
      <c r="E777" s="1"/>
      <c r="F777" s="1"/>
      <c r="G777" s="1"/>
      <c r="H777" s="1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x14ac:dyDescent="0.25">
      <c r="A778" s="1"/>
      <c r="B778" s="1"/>
      <c r="C778" s="1"/>
      <c r="D778" s="1"/>
      <c r="E778" s="1"/>
      <c r="F778" s="1"/>
      <c r="G778" s="1"/>
      <c r="H778" s="1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x14ac:dyDescent="0.25">
      <c r="A779" s="1"/>
      <c r="B779" s="1"/>
      <c r="C779" s="1"/>
      <c r="D779" s="1"/>
      <c r="E779" s="1"/>
      <c r="F779" s="1"/>
      <c r="G779" s="1"/>
      <c r="H779" s="1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x14ac:dyDescent="0.25">
      <c r="A780" s="1"/>
      <c r="B780" s="1"/>
      <c r="C780" s="1"/>
      <c r="D780" s="1"/>
      <c r="E780" s="1"/>
      <c r="F780" s="1"/>
      <c r="G780" s="1"/>
      <c r="H780" s="1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x14ac:dyDescent="0.25">
      <c r="A781" s="1"/>
      <c r="B781" s="1"/>
      <c r="C781" s="1"/>
      <c r="D781" s="1"/>
      <c r="E781" s="1"/>
      <c r="F781" s="1"/>
      <c r="G781" s="1"/>
      <c r="H781" s="1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x14ac:dyDescent="0.25">
      <c r="A782" s="1"/>
      <c r="B782" s="1"/>
      <c r="C782" s="1"/>
      <c r="D782" s="1"/>
      <c r="E782" s="1"/>
      <c r="F782" s="1"/>
      <c r="G782" s="1"/>
      <c r="H782" s="1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x14ac:dyDescent="0.25">
      <c r="A783" s="1"/>
      <c r="B783" s="1"/>
      <c r="C783" s="1"/>
      <c r="D783" s="1"/>
      <c r="E783" s="1"/>
      <c r="F783" s="1"/>
      <c r="G783" s="1"/>
      <c r="H783" s="1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x14ac:dyDescent="0.25">
      <c r="A784" s="1"/>
      <c r="B784" s="1"/>
      <c r="C784" s="1"/>
      <c r="D784" s="1"/>
      <c r="E784" s="1"/>
      <c r="F784" s="1"/>
      <c r="G784" s="1"/>
      <c r="H784" s="1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x14ac:dyDescent="0.25">
      <c r="A785" s="1"/>
      <c r="B785" s="1"/>
      <c r="C785" s="1"/>
      <c r="D785" s="1"/>
      <c r="E785" s="1"/>
      <c r="F785" s="1"/>
      <c r="G785" s="1"/>
      <c r="H785" s="1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x14ac:dyDescent="0.25">
      <c r="A786" s="1"/>
      <c r="B786" s="1"/>
      <c r="C786" s="1"/>
      <c r="D786" s="1"/>
      <c r="E786" s="1"/>
      <c r="F786" s="1"/>
      <c r="G786" s="1"/>
      <c r="H786" s="1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x14ac:dyDescent="0.25">
      <c r="A787" s="1"/>
      <c r="B787" s="1"/>
      <c r="C787" s="1"/>
      <c r="D787" s="1"/>
      <c r="E787" s="1"/>
      <c r="F787" s="1"/>
      <c r="G787" s="1"/>
      <c r="H787" s="1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x14ac:dyDescent="0.25">
      <c r="A788" s="1"/>
      <c r="B788" s="1"/>
      <c r="C788" s="1"/>
      <c r="D788" s="1"/>
      <c r="E788" s="1"/>
      <c r="F788" s="1"/>
      <c r="G788" s="1"/>
      <c r="H788" s="1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x14ac:dyDescent="0.25">
      <c r="A789" s="1"/>
      <c r="B789" s="1"/>
      <c r="C789" s="1"/>
      <c r="D789" s="1"/>
      <c r="E789" s="1"/>
      <c r="F789" s="1"/>
      <c r="G789" s="1"/>
      <c r="H789" s="1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x14ac:dyDescent="0.25">
      <c r="A790" s="1"/>
      <c r="B790" s="1"/>
      <c r="C790" s="1"/>
      <c r="D790" s="1"/>
      <c r="E790" s="1"/>
      <c r="F790" s="1"/>
      <c r="G790" s="1"/>
      <c r="H790" s="1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x14ac:dyDescent="0.25">
      <c r="A791" s="1"/>
      <c r="B791" s="1"/>
      <c r="C791" s="1"/>
      <c r="D791" s="1"/>
      <c r="E791" s="1"/>
      <c r="F791" s="1"/>
      <c r="G791" s="1"/>
      <c r="H791" s="1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x14ac:dyDescent="0.25">
      <c r="A792" s="1"/>
      <c r="B792" s="1"/>
      <c r="C792" s="1"/>
      <c r="D792" s="1"/>
      <c r="E792" s="1"/>
      <c r="F792" s="1"/>
      <c r="G792" s="1"/>
      <c r="H792" s="1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x14ac:dyDescent="0.25">
      <c r="A793" s="1"/>
      <c r="B793" s="1"/>
      <c r="C793" s="1"/>
      <c r="D793" s="1"/>
      <c r="E793" s="1"/>
      <c r="F793" s="1"/>
      <c r="G793" s="1"/>
      <c r="H793" s="1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x14ac:dyDescent="0.25">
      <c r="A794" s="1"/>
      <c r="B794" s="1"/>
      <c r="C794" s="1"/>
      <c r="D794" s="1"/>
      <c r="E794" s="1"/>
      <c r="F794" s="1"/>
      <c r="G794" s="1"/>
      <c r="H794" s="1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x14ac:dyDescent="0.25">
      <c r="A795" s="1"/>
      <c r="B795" s="1"/>
      <c r="C795" s="1"/>
      <c r="D795" s="1"/>
      <c r="E795" s="1"/>
      <c r="F795" s="1"/>
      <c r="G795" s="1"/>
      <c r="H795" s="1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x14ac:dyDescent="0.25">
      <c r="A796" s="1"/>
      <c r="B796" s="1"/>
      <c r="C796" s="1"/>
      <c r="D796" s="1"/>
      <c r="E796" s="1"/>
      <c r="F796" s="1"/>
      <c r="G796" s="1"/>
      <c r="H796" s="1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x14ac:dyDescent="0.25">
      <c r="A797" s="1"/>
      <c r="B797" s="1"/>
      <c r="C797" s="1"/>
      <c r="D797" s="1"/>
      <c r="E797" s="1"/>
      <c r="F797" s="1"/>
      <c r="G797" s="1"/>
      <c r="H797" s="1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x14ac:dyDescent="0.25">
      <c r="A798" s="1"/>
      <c r="B798" s="1"/>
      <c r="C798" s="1"/>
      <c r="D798" s="1"/>
      <c r="E798" s="1"/>
      <c r="F798" s="1"/>
      <c r="G798" s="1"/>
      <c r="H798" s="1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x14ac:dyDescent="0.25">
      <c r="A799" s="1"/>
      <c r="B799" s="1"/>
      <c r="C799" s="1"/>
      <c r="D799" s="1"/>
      <c r="E799" s="1"/>
      <c r="F799" s="1"/>
      <c r="G799" s="1"/>
      <c r="H799" s="1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x14ac:dyDescent="0.25">
      <c r="A800" s="1"/>
      <c r="B800" s="1"/>
      <c r="C800" s="1"/>
      <c r="D800" s="1"/>
      <c r="E800" s="1"/>
      <c r="F800" s="1"/>
      <c r="G800" s="1"/>
      <c r="H800" s="1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x14ac:dyDescent="0.25">
      <c r="A801" s="1"/>
      <c r="B801" s="1"/>
      <c r="C801" s="1"/>
      <c r="D801" s="1"/>
      <c r="E801" s="1"/>
      <c r="F801" s="1"/>
      <c r="G801" s="1"/>
      <c r="H801" s="1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x14ac:dyDescent="0.25">
      <c r="A802" s="1"/>
      <c r="B802" s="1"/>
      <c r="C802" s="1"/>
      <c r="D802" s="1"/>
      <c r="E802" s="1"/>
      <c r="F802" s="1"/>
      <c r="G802" s="1"/>
      <c r="H802" s="1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x14ac:dyDescent="0.25">
      <c r="A803" s="1"/>
      <c r="B803" s="1"/>
      <c r="C803" s="1"/>
      <c r="D803" s="1"/>
      <c r="E803" s="1"/>
      <c r="F803" s="1"/>
      <c r="G803" s="1"/>
      <c r="H803" s="1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x14ac:dyDescent="0.25">
      <c r="A804" s="1"/>
      <c r="B804" s="1"/>
      <c r="C804" s="1"/>
      <c r="D804" s="1"/>
      <c r="E804" s="1"/>
      <c r="F804" s="1"/>
      <c r="G804" s="1"/>
      <c r="H804" s="1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x14ac:dyDescent="0.25">
      <c r="A805" s="1"/>
      <c r="B805" s="1"/>
      <c r="C805" s="1"/>
      <c r="D805" s="1"/>
      <c r="E805" s="1"/>
      <c r="F805" s="1"/>
      <c r="G805" s="1"/>
      <c r="H805" s="1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x14ac:dyDescent="0.25">
      <c r="A806" s="1"/>
      <c r="B806" s="1"/>
      <c r="C806" s="1"/>
      <c r="D806" s="1"/>
      <c r="E806" s="1"/>
      <c r="F806" s="1"/>
      <c r="G806" s="1"/>
      <c r="H806" s="1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x14ac:dyDescent="0.25">
      <c r="A807" s="1"/>
      <c r="B807" s="1"/>
      <c r="C807" s="1"/>
      <c r="D807" s="1"/>
      <c r="E807" s="1"/>
      <c r="F807" s="1"/>
      <c r="G807" s="1"/>
      <c r="H807" s="1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x14ac:dyDescent="0.25">
      <c r="A808" s="1"/>
      <c r="B808" s="1"/>
      <c r="C808" s="1"/>
      <c r="D808" s="1"/>
      <c r="E808" s="1"/>
      <c r="F808" s="1"/>
      <c r="G808" s="1"/>
      <c r="H808" s="1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x14ac:dyDescent="0.25">
      <c r="A809" s="1"/>
      <c r="B809" s="1"/>
      <c r="C809" s="1"/>
      <c r="D809" s="1"/>
      <c r="E809" s="1"/>
      <c r="F809" s="1"/>
      <c r="G809" s="1"/>
      <c r="H809" s="1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x14ac:dyDescent="0.25">
      <c r="A810" s="1"/>
      <c r="B810" s="1"/>
      <c r="C810" s="1"/>
      <c r="D810" s="1"/>
      <c r="E810" s="1"/>
      <c r="F810" s="1"/>
      <c r="G810" s="1"/>
      <c r="H810" s="1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x14ac:dyDescent="0.25">
      <c r="A811" s="1"/>
      <c r="B811" s="1"/>
      <c r="C811" s="1"/>
      <c r="D811" s="1"/>
      <c r="E811" s="1"/>
      <c r="F811" s="1"/>
      <c r="G811" s="1"/>
      <c r="H811" s="1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x14ac:dyDescent="0.25">
      <c r="A812" s="1"/>
      <c r="B812" s="1"/>
      <c r="C812" s="1"/>
      <c r="D812" s="1"/>
      <c r="E812" s="1"/>
      <c r="F812" s="1"/>
      <c r="G812" s="1"/>
      <c r="H812" s="1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x14ac:dyDescent="0.25">
      <c r="A813" s="1"/>
      <c r="B813" s="1"/>
      <c r="C813" s="1"/>
      <c r="D813" s="1"/>
      <c r="E813" s="1"/>
      <c r="F813" s="1"/>
      <c r="G813" s="1"/>
      <c r="H813" s="1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x14ac:dyDescent="0.25">
      <c r="A814" s="1"/>
      <c r="B814" s="1"/>
      <c r="C814" s="1"/>
      <c r="D814" s="1"/>
      <c r="E814" s="1"/>
      <c r="F814" s="1"/>
      <c r="G814" s="1"/>
      <c r="H814" s="1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x14ac:dyDescent="0.25">
      <c r="A815" s="1"/>
      <c r="B815" s="1"/>
      <c r="C815" s="1"/>
      <c r="D815" s="1"/>
      <c r="E815" s="1"/>
      <c r="F815" s="1"/>
      <c r="G815" s="1"/>
      <c r="H815" s="1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x14ac:dyDescent="0.25">
      <c r="A816" s="1"/>
      <c r="B816" s="1"/>
      <c r="C816" s="1"/>
      <c r="D816" s="1"/>
      <c r="E816" s="1"/>
      <c r="F816" s="1"/>
      <c r="G816" s="1"/>
      <c r="H816" s="1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x14ac:dyDescent="0.25">
      <c r="A817" s="1"/>
      <c r="B817" s="1"/>
      <c r="C817" s="1"/>
      <c r="D817" s="1"/>
      <c r="E817" s="1"/>
      <c r="F817" s="1"/>
      <c r="G817" s="1"/>
      <c r="H817" s="1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x14ac:dyDescent="0.25">
      <c r="A818" s="1"/>
      <c r="B818" s="1"/>
      <c r="C818" s="1"/>
      <c r="D818" s="1"/>
      <c r="E818" s="1"/>
      <c r="F818" s="1"/>
      <c r="G818" s="1"/>
      <c r="H818" s="1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x14ac:dyDescent="0.25">
      <c r="A819" s="1"/>
      <c r="B819" s="1"/>
      <c r="C819" s="1"/>
      <c r="D819" s="1"/>
      <c r="E819" s="1"/>
      <c r="F819" s="1"/>
      <c r="G819" s="1"/>
      <c r="H819" s="1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x14ac:dyDescent="0.25">
      <c r="A820" s="1"/>
      <c r="B820" s="1"/>
      <c r="C820" s="1"/>
      <c r="D820" s="1"/>
      <c r="E820" s="1"/>
      <c r="F820" s="1"/>
      <c r="G820" s="1"/>
      <c r="H820" s="1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x14ac:dyDescent="0.25">
      <c r="A821" s="1"/>
      <c r="B821" s="1"/>
      <c r="C821" s="1"/>
      <c r="D821" s="1"/>
      <c r="E821" s="1"/>
      <c r="F821" s="1"/>
      <c r="G821" s="1"/>
      <c r="H821" s="1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x14ac:dyDescent="0.25">
      <c r="A822" s="1"/>
      <c r="B822" s="1"/>
      <c r="C822" s="1"/>
      <c r="D822" s="1"/>
      <c r="E822" s="1"/>
      <c r="F822" s="1"/>
      <c r="G822" s="1"/>
      <c r="H822" s="1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x14ac:dyDescent="0.25">
      <c r="A823" s="1"/>
      <c r="B823" s="1"/>
      <c r="C823" s="1"/>
      <c r="D823" s="1"/>
      <c r="E823" s="1"/>
      <c r="F823" s="1"/>
      <c r="G823" s="1"/>
      <c r="H823" s="1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x14ac:dyDescent="0.25">
      <c r="A824" s="1"/>
      <c r="B824" s="1"/>
      <c r="C824" s="1"/>
      <c r="D824" s="1"/>
      <c r="E824" s="1"/>
      <c r="F824" s="1"/>
      <c r="G824" s="1"/>
      <c r="H824" s="1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x14ac:dyDescent="0.25">
      <c r="A825" s="1"/>
      <c r="B825" s="1"/>
      <c r="C825" s="1"/>
      <c r="D825" s="1"/>
      <c r="E825" s="1"/>
      <c r="F825" s="1"/>
      <c r="G825" s="1"/>
      <c r="H825" s="1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x14ac:dyDescent="0.25">
      <c r="A826" s="1"/>
      <c r="B826" s="1"/>
      <c r="C826" s="1"/>
      <c r="D826" s="1"/>
      <c r="E826" s="1"/>
      <c r="F826" s="1"/>
      <c r="G826" s="1"/>
      <c r="H826" s="1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x14ac:dyDescent="0.25">
      <c r="A827" s="1"/>
      <c r="B827" s="1"/>
      <c r="C827" s="1"/>
      <c r="D827" s="1"/>
      <c r="E827" s="1"/>
      <c r="F827" s="1"/>
      <c r="G827" s="1"/>
      <c r="H827" s="1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x14ac:dyDescent="0.25">
      <c r="A828" s="1"/>
      <c r="B828" s="1"/>
      <c r="C828" s="1"/>
      <c r="D828" s="1"/>
      <c r="E828" s="1"/>
      <c r="F828" s="1"/>
      <c r="G828" s="1"/>
      <c r="H828" s="1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x14ac:dyDescent="0.25">
      <c r="A829" s="1"/>
      <c r="B829" s="1"/>
      <c r="C829" s="1"/>
      <c r="D829" s="1"/>
      <c r="E829" s="1"/>
      <c r="F829" s="1"/>
      <c r="G829" s="1"/>
      <c r="H829" s="1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x14ac:dyDescent="0.25">
      <c r="A830" s="1"/>
      <c r="B830" s="1"/>
      <c r="C830" s="1"/>
      <c r="D830" s="1"/>
      <c r="E830" s="1"/>
      <c r="F830" s="1"/>
      <c r="G830" s="1"/>
      <c r="H830" s="1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x14ac:dyDescent="0.25">
      <c r="A831" s="1"/>
      <c r="B831" s="1"/>
      <c r="C831" s="1"/>
      <c r="D831" s="1"/>
      <c r="E831" s="1"/>
      <c r="F831" s="1"/>
      <c r="G831" s="1"/>
      <c r="H831" s="1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x14ac:dyDescent="0.25">
      <c r="A832" s="1"/>
      <c r="B832" s="1"/>
      <c r="C832" s="1"/>
      <c r="D832" s="1"/>
      <c r="E832" s="1"/>
      <c r="F832" s="1"/>
      <c r="G832" s="1"/>
      <c r="H832" s="1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x14ac:dyDescent="0.25">
      <c r="A833" s="1"/>
      <c r="B833" s="1"/>
      <c r="C833" s="1"/>
      <c r="D833" s="1"/>
      <c r="E833" s="1"/>
      <c r="F833" s="1"/>
      <c r="G833" s="1"/>
      <c r="H833" s="1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x14ac:dyDescent="0.25">
      <c r="A834" s="1"/>
      <c r="B834" s="1"/>
      <c r="C834" s="1"/>
      <c r="D834" s="1"/>
      <c r="E834" s="1"/>
      <c r="F834" s="1"/>
      <c r="G834" s="1"/>
      <c r="H834" s="1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x14ac:dyDescent="0.25">
      <c r="A835" s="1"/>
      <c r="B835" s="1"/>
      <c r="C835" s="1"/>
      <c r="D835" s="1"/>
      <c r="E835" s="1"/>
      <c r="F835" s="1"/>
      <c r="G835" s="1"/>
      <c r="H835" s="1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x14ac:dyDescent="0.25">
      <c r="A836" s="1"/>
      <c r="B836" s="1"/>
      <c r="C836" s="1"/>
      <c r="D836" s="1"/>
      <c r="E836" s="1"/>
      <c r="F836" s="1"/>
      <c r="G836" s="1"/>
      <c r="H836" s="1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x14ac:dyDescent="0.25">
      <c r="A837" s="1"/>
      <c r="B837" s="1"/>
      <c r="C837" s="1"/>
      <c r="D837" s="1"/>
      <c r="E837" s="1"/>
      <c r="F837" s="1"/>
      <c r="G837" s="1"/>
      <c r="H837" s="1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x14ac:dyDescent="0.25">
      <c r="A838" s="1"/>
      <c r="B838" s="1"/>
      <c r="C838" s="1"/>
      <c r="D838" s="1"/>
      <c r="E838" s="1"/>
      <c r="F838" s="1"/>
      <c r="G838" s="1"/>
      <c r="H838" s="1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x14ac:dyDescent="0.25">
      <c r="A839" s="1"/>
      <c r="B839" s="1"/>
      <c r="C839" s="1"/>
      <c r="D839" s="1"/>
      <c r="E839" s="1"/>
      <c r="F839" s="1"/>
      <c r="G839" s="1"/>
      <c r="H839" s="1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x14ac:dyDescent="0.25">
      <c r="A840" s="1"/>
      <c r="B840" s="1"/>
      <c r="C840" s="1"/>
      <c r="D840" s="1"/>
      <c r="E840" s="1"/>
      <c r="F840" s="1"/>
      <c r="G840" s="1"/>
      <c r="H840" s="1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x14ac:dyDescent="0.25">
      <c r="A841" s="1"/>
      <c r="B841" s="1"/>
      <c r="C841" s="1"/>
      <c r="D841" s="1"/>
      <c r="E841" s="1"/>
      <c r="F841" s="1"/>
      <c r="G841" s="1"/>
      <c r="H841" s="1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x14ac:dyDescent="0.25">
      <c r="A842" s="1"/>
      <c r="B842" s="1"/>
      <c r="C842" s="1"/>
      <c r="D842" s="1"/>
      <c r="E842" s="1"/>
      <c r="F842" s="1"/>
      <c r="G842" s="1"/>
      <c r="H842" s="1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x14ac:dyDescent="0.25">
      <c r="A843" s="1"/>
      <c r="B843" s="1"/>
      <c r="C843" s="1"/>
      <c r="D843" s="1"/>
      <c r="E843" s="1"/>
      <c r="F843" s="1"/>
      <c r="G843" s="1"/>
      <c r="H843" s="1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x14ac:dyDescent="0.25">
      <c r="A844" s="1"/>
      <c r="B844" s="1"/>
      <c r="C844" s="1"/>
      <c r="D844" s="1"/>
      <c r="E844" s="1"/>
      <c r="F844" s="1"/>
      <c r="G844" s="1"/>
      <c r="H844" s="1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x14ac:dyDescent="0.25">
      <c r="A845" s="1"/>
      <c r="B845" s="1"/>
      <c r="C845" s="1"/>
      <c r="D845" s="1"/>
      <c r="E845" s="1"/>
      <c r="F845" s="1"/>
      <c r="G845" s="1"/>
      <c r="H845" s="1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x14ac:dyDescent="0.25">
      <c r="A846" s="1"/>
      <c r="B846" s="1"/>
      <c r="C846" s="1"/>
      <c r="D846" s="1"/>
      <c r="E846" s="1"/>
      <c r="F846" s="1"/>
      <c r="G846" s="1"/>
      <c r="H846" s="1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x14ac:dyDescent="0.25">
      <c r="A847" s="1"/>
      <c r="B847" s="1"/>
      <c r="C847" s="1"/>
      <c r="D847" s="1"/>
      <c r="E847" s="1"/>
      <c r="F847" s="1"/>
      <c r="G847" s="1"/>
      <c r="H847" s="1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x14ac:dyDescent="0.25">
      <c r="A848" s="1"/>
      <c r="B848" s="1"/>
      <c r="C848" s="1"/>
      <c r="D848" s="1"/>
      <c r="E848" s="1"/>
      <c r="F848" s="1"/>
      <c r="G848" s="1"/>
      <c r="H848" s="1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x14ac:dyDescent="0.25">
      <c r="A849" s="1"/>
      <c r="B849" s="1"/>
      <c r="C849" s="1"/>
      <c r="D849" s="1"/>
      <c r="E849" s="1"/>
      <c r="F849" s="1"/>
      <c r="G849" s="1"/>
      <c r="H849" s="1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x14ac:dyDescent="0.25">
      <c r="A850" s="1"/>
      <c r="B850" s="1"/>
      <c r="C850" s="1"/>
      <c r="D850" s="1"/>
      <c r="E850" s="1"/>
      <c r="F850" s="1"/>
      <c r="G850" s="1"/>
      <c r="H850" s="1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x14ac:dyDescent="0.25">
      <c r="A851" s="1"/>
      <c r="B851" s="1"/>
      <c r="C851" s="1"/>
      <c r="D851" s="1"/>
      <c r="E851" s="1"/>
      <c r="F851" s="1"/>
      <c r="G851" s="1"/>
      <c r="H851" s="1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x14ac:dyDescent="0.25">
      <c r="A852" s="1"/>
      <c r="B852" s="1"/>
      <c r="C852" s="1"/>
      <c r="D852" s="1"/>
      <c r="E852" s="1"/>
      <c r="F852" s="1"/>
      <c r="G852" s="1"/>
      <c r="H852" s="1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x14ac:dyDescent="0.25">
      <c r="A853" s="1"/>
      <c r="B853" s="1"/>
      <c r="C853" s="1"/>
      <c r="D853" s="1"/>
      <c r="E853" s="1"/>
      <c r="F853" s="1"/>
      <c r="G853" s="1"/>
      <c r="H853" s="1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x14ac:dyDescent="0.25">
      <c r="A854" s="1"/>
      <c r="B854" s="1"/>
      <c r="C854" s="1"/>
      <c r="D854" s="1"/>
      <c r="E854" s="1"/>
      <c r="F854" s="1"/>
      <c r="G854" s="1"/>
      <c r="H854" s="1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x14ac:dyDescent="0.25">
      <c r="A855" s="1"/>
      <c r="B855" s="1"/>
      <c r="C855" s="1"/>
      <c r="D855" s="1"/>
      <c r="E855" s="1"/>
      <c r="F855" s="1"/>
      <c r="G855" s="1"/>
      <c r="H855" s="1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x14ac:dyDescent="0.25">
      <c r="A856" s="1"/>
      <c r="B856" s="1"/>
      <c r="C856" s="1"/>
      <c r="D856" s="1"/>
      <c r="E856" s="1"/>
      <c r="F856" s="1"/>
      <c r="G856" s="1"/>
      <c r="H856" s="1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x14ac:dyDescent="0.25">
      <c r="A857" s="1"/>
      <c r="B857" s="1"/>
      <c r="C857" s="1"/>
      <c r="D857" s="1"/>
      <c r="E857" s="1"/>
      <c r="F857" s="1"/>
      <c r="G857" s="1"/>
      <c r="H857" s="1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x14ac:dyDescent="0.25">
      <c r="A858" s="1"/>
      <c r="B858" s="1"/>
      <c r="C858" s="1"/>
      <c r="D858" s="1"/>
      <c r="E858" s="1"/>
      <c r="F858" s="1"/>
      <c r="G858" s="1"/>
      <c r="H858" s="1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x14ac:dyDescent="0.25">
      <c r="A859" s="1"/>
      <c r="B859" s="1"/>
      <c r="C859" s="1"/>
      <c r="D859" s="1"/>
      <c r="E859" s="1"/>
      <c r="F859" s="1"/>
      <c r="G859" s="1"/>
      <c r="H859" s="1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x14ac:dyDescent="0.25">
      <c r="A860" s="1"/>
      <c r="B860" s="1"/>
      <c r="C860" s="1"/>
      <c r="D860" s="1"/>
      <c r="E860" s="1"/>
      <c r="F860" s="1"/>
      <c r="G860" s="1"/>
      <c r="H860" s="1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x14ac:dyDescent="0.25">
      <c r="A861" s="1"/>
      <c r="B861" s="1"/>
      <c r="C861" s="1"/>
      <c r="D861" s="1"/>
      <c r="E861" s="1"/>
      <c r="F861" s="1"/>
      <c r="G861" s="1"/>
      <c r="H861" s="1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x14ac:dyDescent="0.25">
      <c r="A862" s="1"/>
      <c r="B862" s="1"/>
      <c r="C862" s="1"/>
      <c r="D862" s="1"/>
      <c r="E862" s="1"/>
      <c r="F862" s="1"/>
      <c r="G862" s="1"/>
      <c r="H862" s="1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x14ac:dyDescent="0.25">
      <c r="A863" s="1"/>
      <c r="B863" s="1"/>
      <c r="C863" s="1"/>
      <c r="D863" s="1"/>
      <c r="E863" s="1"/>
      <c r="F863" s="1"/>
      <c r="G863" s="1"/>
      <c r="H863" s="1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x14ac:dyDescent="0.25">
      <c r="A864" s="1"/>
      <c r="B864" s="1"/>
      <c r="C864" s="1"/>
      <c r="D864" s="1"/>
      <c r="E864" s="1"/>
      <c r="F864" s="1"/>
      <c r="G864" s="1"/>
      <c r="H864" s="1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x14ac:dyDescent="0.25">
      <c r="A865" s="1"/>
      <c r="B865" s="1"/>
      <c r="C865" s="1"/>
      <c r="D865" s="1"/>
      <c r="E865" s="1"/>
      <c r="F865" s="1"/>
      <c r="G865" s="1"/>
      <c r="H865" s="1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x14ac:dyDescent="0.25">
      <c r="A866" s="1"/>
      <c r="B866" s="1"/>
      <c r="C866" s="1"/>
      <c r="D866" s="1"/>
      <c r="E866" s="1"/>
      <c r="F866" s="1"/>
      <c r="G866" s="1"/>
      <c r="H866" s="1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x14ac:dyDescent="0.25">
      <c r="A867" s="1"/>
      <c r="B867" s="1"/>
      <c r="C867" s="1"/>
      <c r="D867" s="1"/>
      <c r="E867" s="1"/>
      <c r="F867" s="1"/>
      <c r="G867" s="1"/>
      <c r="H867" s="1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x14ac:dyDescent="0.25">
      <c r="A868" s="1"/>
      <c r="B868" s="1"/>
      <c r="C868" s="1"/>
      <c r="D868" s="1"/>
      <c r="E868" s="1"/>
      <c r="F868" s="1"/>
      <c r="G868" s="1"/>
      <c r="H868" s="1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x14ac:dyDescent="0.25">
      <c r="A869" s="1"/>
      <c r="B869" s="1"/>
      <c r="C869" s="1"/>
      <c r="D869" s="1"/>
      <c r="E869" s="1"/>
      <c r="F869" s="1"/>
      <c r="G869" s="1"/>
      <c r="H869" s="1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x14ac:dyDescent="0.25">
      <c r="A870" s="1"/>
      <c r="B870" s="1"/>
      <c r="C870" s="1"/>
      <c r="D870" s="1"/>
      <c r="E870" s="1"/>
      <c r="F870" s="1"/>
      <c r="G870" s="1"/>
      <c r="H870" s="1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x14ac:dyDescent="0.25">
      <c r="A871" s="1"/>
      <c r="B871" s="1"/>
      <c r="C871" s="1"/>
      <c r="D871" s="1"/>
      <c r="E871" s="1"/>
      <c r="F871" s="1"/>
      <c r="G871" s="1"/>
      <c r="H871" s="1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x14ac:dyDescent="0.25">
      <c r="A872" s="1"/>
      <c r="B872" s="1"/>
      <c r="C872" s="1"/>
      <c r="D872" s="1"/>
      <c r="E872" s="1"/>
      <c r="F872" s="1"/>
      <c r="G872" s="1"/>
      <c r="H872" s="1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x14ac:dyDescent="0.25">
      <c r="A873" s="1"/>
      <c r="B873" s="1"/>
      <c r="C873" s="1"/>
      <c r="D873" s="1"/>
      <c r="E873" s="1"/>
      <c r="F873" s="1"/>
      <c r="G873" s="1"/>
      <c r="H873" s="1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x14ac:dyDescent="0.25">
      <c r="A874" s="1"/>
      <c r="B874" s="1"/>
      <c r="C874" s="1"/>
      <c r="D874" s="1"/>
      <c r="E874" s="1"/>
      <c r="F874" s="1"/>
      <c r="G874" s="1"/>
      <c r="H874" s="1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x14ac:dyDescent="0.25">
      <c r="A875" s="1"/>
      <c r="B875" s="1"/>
      <c r="C875" s="1"/>
      <c r="D875" s="1"/>
      <c r="E875" s="1"/>
      <c r="F875" s="1"/>
      <c r="G875" s="1"/>
      <c r="H875" s="1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x14ac:dyDescent="0.25">
      <c r="A876" s="1"/>
      <c r="B876" s="1"/>
      <c r="C876" s="1"/>
      <c r="D876" s="1"/>
      <c r="E876" s="1"/>
      <c r="F876" s="1"/>
      <c r="G876" s="1"/>
      <c r="H876" s="1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x14ac:dyDescent="0.25">
      <c r="A877" s="1"/>
      <c r="B877" s="1"/>
      <c r="C877" s="1"/>
      <c r="D877" s="1"/>
      <c r="E877" s="1"/>
      <c r="F877" s="1"/>
      <c r="G877" s="1"/>
      <c r="H877" s="1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x14ac:dyDescent="0.25">
      <c r="A878" s="1"/>
      <c r="B878" s="1"/>
      <c r="C878" s="1"/>
      <c r="D878" s="1"/>
      <c r="E878" s="1"/>
      <c r="F878" s="1"/>
      <c r="G878" s="1"/>
      <c r="H878" s="1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x14ac:dyDescent="0.25">
      <c r="A879" s="1"/>
      <c r="B879" s="1"/>
      <c r="C879" s="1"/>
      <c r="D879" s="1"/>
      <c r="E879" s="1"/>
      <c r="F879" s="1"/>
      <c r="G879" s="1"/>
      <c r="H879" s="1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x14ac:dyDescent="0.25">
      <c r="A880" s="1"/>
      <c r="B880" s="1"/>
      <c r="C880" s="1"/>
      <c r="D880" s="1"/>
      <c r="E880" s="1"/>
      <c r="F880" s="1"/>
      <c r="G880" s="1"/>
      <c r="H880" s="1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x14ac:dyDescent="0.25">
      <c r="A881" s="1"/>
      <c r="B881" s="1"/>
      <c r="C881" s="1"/>
      <c r="D881" s="1"/>
      <c r="E881" s="1"/>
      <c r="F881" s="1"/>
      <c r="G881" s="1"/>
      <c r="H881" s="1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x14ac:dyDescent="0.25">
      <c r="A882" s="1"/>
      <c r="B882" s="1"/>
      <c r="C882" s="1"/>
      <c r="D882" s="1"/>
      <c r="E882" s="1"/>
      <c r="F882" s="1"/>
      <c r="G882" s="1"/>
      <c r="H882" s="1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x14ac:dyDescent="0.25">
      <c r="A883" s="1"/>
      <c r="B883" s="1"/>
      <c r="C883" s="1"/>
      <c r="D883" s="1"/>
      <c r="E883" s="1"/>
      <c r="F883" s="1"/>
      <c r="G883" s="1"/>
      <c r="H883" s="1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x14ac:dyDescent="0.25">
      <c r="A884" s="1"/>
      <c r="B884" s="1"/>
      <c r="C884" s="1"/>
      <c r="D884" s="1"/>
      <c r="E884" s="1"/>
      <c r="F884" s="1"/>
      <c r="G884" s="1"/>
      <c r="H884" s="1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x14ac:dyDescent="0.25">
      <c r="A885" s="1"/>
      <c r="B885" s="1"/>
      <c r="C885" s="1"/>
      <c r="D885" s="1"/>
      <c r="E885" s="1"/>
      <c r="F885" s="1"/>
      <c r="G885" s="1"/>
      <c r="H885" s="1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x14ac:dyDescent="0.25">
      <c r="A886" s="1"/>
      <c r="B886" s="1"/>
      <c r="C886" s="1"/>
      <c r="D886" s="1"/>
      <c r="E886" s="1"/>
      <c r="F886" s="1"/>
      <c r="G886" s="1"/>
      <c r="H886" s="1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x14ac:dyDescent="0.25">
      <c r="A887" s="1"/>
      <c r="B887" s="1"/>
      <c r="C887" s="1"/>
      <c r="D887" s="1"/>
      <c r="E887" s="1"/>
      <c r="F887" s="1"/>
      <c r="G887" s="1"/>
      <c r="H887" s="1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x14ac:dyDescent="0.25">
      <c r="A888" s="1"/>
      <c r="B888" s="1"/>
      <c r="C888" s="1"/>
      <c r="D888" s="1"/>
      <c r="E888" s="1"/>
      <c r="F888" s="1"/>
      <c r="G888" s="1"/>
      <c r="H888" s="1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x14ac:dyDescent="0.25">
      <c r="A889" s="1"/>
      <c r="B889" s="1"/>
      <c r="C889" s="1"/>
      <c r="D889" s="1"/>
      <c r="E889" s="1"/>
      <c r="F889" s="1"/>
      <c r="G889" s="1"/>
      <c r="H889" s="1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x14ac:dyDescent="0.25">
      <c r="A890" s="1"/>
      <c r="B890" s="1"/>
      <c r="C890" s="1"/>
      <c r="D890" s="1"/>
      <c r="E890" s="1"/>
      <c r="F890" s="1"/>
      <c r="G890" s="1"/>
      <c r="H890" s="1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x14ac:dyDescent="0.25">
      <c r="A891" s="1"/>
      <c r="B891" s="1"/>
      <c r="C891" s="1"/>
      <c r="D891" s="1"/>
      <c r="E891" s="1"/>
      <c r="F891" s="1"/>
      <c r="G891" s="1"/>
      <c r="H891" s="1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x14ac:dyDescent="0.25">
      <c r="A892" s="1"/>
      <c r="B892" s="1"/>
      <c r="C892" s="1"/>
      <c r="D892" s="1"/>
      <c r="E892" s="1"/>
      <c r="F892" s="1"/>
      <c r="G892" s="1"/>
      <c r="H892" s="1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x14ac:dyDescent="0.25">
      <c r="A893" s="1"/>
      <c r="B893" s="1"/>
      <c r="C893" s="1"/>
      <c r="D893" s="1"/>
      <c r="E893" s="1"/>
      <c r="F893" s="1"/>
      <c r="G893" s="1"/>
      <c r="H893" s="1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x14ac:dyDescent="0.25">
      <c r="A894" s="1"/>
      <c r="B894" s="1"/>
      <c r="C894" s="1"/>
      <c r="D894" s="1"/>
      <c r="E894" s="1"/>
      <c r="F894" s="1"/>
      <c r="G894" s="1"/>
      <c r="H894" s="1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x14ac:dyDescent="0.25">
      <c r="A895" s="1"/>
      <c r="B895" s="1"/>
      <c r="C895" s="1"/>
      <c r="D895" s="1"/>
      <c r="E895" s="1"/>
      <c r="F895" s="1"/>
      <c r="G895" s="1"/>
      <c r="H895" s="1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x14ac:dyDescent="0.25">
      <c r="A896" s="1"/>
      <c r="B896" s="1"/>
      <c r="C896" s="1"/>
      <c r="D896" s="1"/>
      <c r="E896" s="1"/>
      <c r="F896" s="1"/>
      <c r="G896" s="1"/>
      <c r="H896" s="1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x14ac:dyDescent="0.25">
      <c r="A897" s="1"/>
      <c r="B897" s="1"/>
      <c r="C897" s="1"/>
      <c r="D897" s="1"/>
      <c r="E897" s="1"/>
      <c r="F897" s="1"/>
      <c r="G897" s="1"/>
      <c r="H897" s="1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x14ac:dyDescent="0.25">
      <c r="A898" s="1"/>
      <c r="B898" s="1"/>
      <c r="C898" s="1"/>
      <c r="D898" s="1"/>
      <c r="E898" s="1"/>
      <c r="F898" s="1"/>
      <c r="G898" s="1"/>
      <c r="H898" s="1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x14ac:dyDescent="0.25">
      <c r="A899" s="1"/>
      <c r="B899" s="1"/>
      <c r="C899" s="1"/>
      <c r="D899" s="1"/>
      <c r="E899" s="1"/>
      <c r="F899" s="1"/>
      <c r="G899" s="1"/>
      <c r="H899" s="1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x14ac:dyDescent="0.25">
      <c r="A900" s="1"/>
      <c r="B900" s="1"/>
      <c r="C900" s="1"/>
      <c r="D900" s="1"/>
      <c r="E900" s="1"/>
      <c r="F900" s="1"/>
      <c r="G900" s="1"/>
      <c r="H900" s="1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x14ac:dyDescent="0.25">
      <c r="A901" s="1"/>
      <c r="B901" s="1"/>
      <c r="C901" s="1"/>
      <c r="D901" s="1"/>
      <c r="E901" s="1"/>
      <c r="F901" s="1"/>
      <c r="G901" s="1"/>
      <c r="H901" s="1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x14ac:dyDescent="0.25">
      <c r="A902" s="1"/>
      <c r="B902" s="1"/>
      <c r="C902" s="1"/>
      <c r="D902" s="1"/>
      <c r="E902" s="1"/>
      <c r="F902" s="1"/>
      <c r="G902" s="1"/>
      <c r="H902" s="1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x14ac:dyDescent="0.25">
      <c r="A903" s="1"/>
      <c r="B903" s="1"/>
      <c r="C903" s="1"/>
      <c r="D903" s="1"/>
      <c r="E903" s="1"/>
      <c r="F903" s="1"/>
      <c r="G903" s="1"/>
      <c r="H903" s="1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x14ac:dyDescent="0.25">
      <c r="A904" s="1"/>
      <c r="B904" s="1"/>
      <c r="C904" s="1"/>
      <c r="D904" s="1"/>
      <c r="E904" s="1"/>
      <c r="F904" s="1"/>
      <c r="G904" s="1"/>
      <c r="H904" s="1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x14ac:dyDescent="0.25">
      <c r="A905" s="1"/>
      <c r="B905" s="1"/>
      <c r="C905" s="1"/>
      <c r="D905" s="1"/>
      <c r="E905" s="1"/>
      <c r="F905" s="1"/>
      <c r="G905" s="1"/>
      <c r="H905" s="1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x14ac:dyDescent="0.25">
      <c r="A906" s="1"/>
      <c r="B906" s="1"/>
      <c r="C906" s="1"/>
      <c r="D906" s="1"/>
      <c r="E906" s="1"/>
      <c r="F906" s="1"/>
      <c r="G906" s="1"/>
      <c r="H906" s="1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x14ac:dyDescent="0.25">
      <c r="A907" s="1"/>
      <c r="B907" s="1"/>
      <c r="C907" s="1"/>
      <c r="D907" s="1"/>
      <c r="E907" s="1"/>
      <c r="F907" s="1"/>
      <c r="G907" s="1"/>
      <c r="H907" s="1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x14ac:dyDescent="0.25">
      <c r="A908" s="1"/>
      <c r="B908" s="1"/>
      <c r="C908" s="1"/>
      <c r="D908" s="1"/>
      <c r="E908" s="1"/>
      <c r="F908" s="1"/>
      <c r="G908" s="1"/>
      <c r="H908" s="1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x14ac:dyDescent="0.25">
      <c r="A909" s="1"/>
      <c r="B909" s="1"/>
      <c r="C909" s="1"/>
      <c r="D909" s="1"/>
      <c r="E909" s="1"/>
      <c r="F909" s="1"/>
      <c r="G909" s="1"/>
      <c r="H909" s="1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x14ac:dyDescent="0.25">
      <c r="A910" s="1"/>
      <c r="B910" s="1"/>
      <c r="C910" s="1"/>
      <c r="D910" s="1"/>
      <c r="E910" s="1"/>
      <c r="F910" s="1"/>
      <c r="G910" s="1"/>
      <c r="H910" s="1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x14ac:dyDescent="0.25">
      <c r="A911" s="1"/>
      <c r="B911" s="1"/>
      <c r="C911" s="1"/>
      <c r="D911" s="1"/>
      <c r="E911" s="1"/>
      <c r="F911" s="1"/>
      <c r="G911" s="1"/>
      <c r="H911" s="1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x14ac:dyDescent="0.25">
      <c r="A912" s="1"/>
      <c r="B912" s="1"/>
      <c r="C912" s="1"/>
      <c r="D912" s="1"/>
      <c r="E912" s="1"/>
      <c r="F912" s="1"/>
      <c r="G912" s="1"/>
      <c r="H912" s="1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x14ac:dyDescent="0.25">
      <c r="A913" s="1"/>
      <c r="B913" s="1"/>
      <c r="C913" s="1"/>
      <c r="D913" s="1"/>
      <c r="E913" s="1"/>
      <c r="F913" s="1"/>
      <c r="G913" s="1"/>
      <c r="H913" s="1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x14ac:dyDescent="0.25">
      <c r="A914" s="1"/>
      <c r="B914" s="1"/>
      <c r="C914" s="1"/>
      <c r="D914" s="1"/>
      <c r="E914" s="1"/>
      <c r="F914" s="1"/>
      <c r="G914" s="1"/>
      <c r="H914" s="1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x14ac:dyDescent="0.25">
      <c r="A915" s="1"/>
      <c r="B915" s="1"/>
      <c r="C915" s="1"/>
      <c r="D915" s="1"/>
      <c r="E915" s="1"/>
      <c r="F915" s="1"/>
      <c r="G915" s="1"/>
      <c r="H915" s="1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x14ac:dyDescent="0.25">
      <c r="A916" s="1"/>
      <c r="B916" s="1"/>
      <c r="C916" s="1"/>
      <c r="D916" s="1"/>
      <c r="E916" s="1"/>
      <c r="F916" s="1"/>
      <c r="G916" s="1"/>
      <c r="H916" s="1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x14ac:dyDescent="0.25">
      <c r="A917" s="1"/>
      <c r="B917" s="1"/>
      <c r="C917" s="1"/>
      <c r="D917" s="1"/>
      <c r="E917" s="1"/>
      <c r="F917" s="1"/>
      <c r="G917" s="1"/>
      <c r="H917" s="1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x14ac:dyDescent="0.25">
      <c r="A918" s="1"/>
      <c r="B918" s="1"/>
      <c r="C918" s="1"/>
      <c r="D918" s="1"/>
      <c r="E918" s="1"/>
      <c r="F918" s="1"/>
      <c r="G918" s="1"/>
      <c r="H918" s="1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x14ac:dyDescent="0.25">
      <c r="A919" s="1"/>
      <c r="B919" s="1"/>
      <c r="C919" s="1"/>
      <c r="D919" s="1"/>
      <c r="E919" s="1"/>
      <c r="F919" s="1"/>
      <c r="G919" s="1"/>
      <c r="H919" s="1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x14ac:dyDescent="0.25">
      <c r="A920" s="1"/>
      <c r="B920" s="1"/>
      <c r="C920" s="1"/>
      <c r="D920" s="1"/>
      <c r="E920" s="1"/>
      <c r="F920" s="1"/>
      <c r="G920" s="1"/>
      <c r="H920" s="1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x14ac:dyDescent="0.25">
      <c r="A921" s="1"/>
      <c r="B921" s="1"/>
      <c r="C921" s="1"/>
      <c r="D921" s="1"/>
      <c r="E921" s="1"/>
      <c r="F921" s="1"/>
      <c r="G921" s="1"/>
      <c r="H921" s="1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x14ac:dyDescent="0.25">
      <c r="A922" s="1"/>
      <c r="B922" s="1"/>
      <c r="C922" s="1"/>
      <c r="D922" s="1"/>
      <c r="E922" s="1"/>
      <c r="F922" s="1"/>
      <c r="G922" s="1"/>
      <c r="H922" s="1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x14ac:dyDescent="0.25">
      <c r="A923" s="1"/>
      <c r="B923" s="1"/>
      <c r="C923" s="1"/>
      <c r="D923" s="1"/>
      <c r="E923" s="1"/>
      <c r="F923" s="1"/>
      <c r="G923" s="1"/>
      <c r="H923" s="1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x14ac:dyDescent="0.25">
      <c r="A924" s="1"/>
      <c r="B924" s="1"/>
      <c r="C924" s="1"/>
      <c r="D924" s="1"/>
      <c r="E924" s="1"/>
      <c r="F924" s="1"/>
      <c r="G924" s="1"/>
      <c r="H924" s="1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x14ac:dyDescent="0.25">
      <c r="A925" s="1"/>
      <c r="B925" s="1"/>
      <c r="C925" s="1"/>
      <c r="D925" s="1"/>
      <c r="E925" s="1"/>
      <c r="F925" s="1"/>
      <c r="G925" s="1"/>
      <c r="H925" s="1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x14ac:dyDescent="0.25">
      <c r="A926" s="1"/>
      <c r="B926" s="1"/>
      <c r="C926" s="1"/>
      <c r="D926" s="1"/>
      <c r="E926" s="1"/>
      <c r="F926" s="1"/>
      <c r="G926" s="1"/>
      <c r="H926" s="1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x14ac:dyDescent="0.25">
      <c r="A927" s="1"/>
      <c r="B927" s="1"/>
      <c r="C927" s="1"/>
      <c r="D927" s="1"/>
      <c r="E927" s="1"/>
      <c r="F927" s="1"/>
      <c r="G927" s="1"/>
      <c r="H927" s="1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x14ac:dyDescent="0.25">
      <c r="A928" s="1"/>
      <c r="B928" s="1"/>
      <c r="C928" s="1"/>
      <c r="D928" s="1"/>
      <c r="E928" s="1"/>
      <c r="F928" s="1"/>
      <c r="G928" s="1"/>
      <c r="H928" s="1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x14ac:dyDescent="0.25">
      <c r="A929" s="1"/>
      <c r="B929" s="1"/>
      <c r="C929" s="1"/>
      <c r="D929" s="1"/>
      <c r="E929" s="1"/>
      <c r="F929" s="1"/>
      <c r="G929" s="1"/>
      <c r="H929" s="1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x14ac:dyDescent="0.25">
      <c r="A930" s="1"/>
      <c r="B930" s="1"/>
      <c r="C930" s="1"/>
      <c r="D930" s="1"/>
      <c r="E930" s="1"/>
      <c r="F930" s="1"/>
      <c r="G930" s="1"/>
      <c r="H930" s="1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x14ac:dyDescent="0.25">
      <c r="A931" s="1"/>
      <c r="B931" s="1"/>
      <c r="C931" s="1"/>
      <c r="D931" s="1"/>
      <c r="E931" s="1"/>
      <c r="F931" s="1"/>
      <c r="G931" s="1"/>
      <c r="H931" s="1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x14ac:dyDescent="0.25">
      <c r="A932" s="1"/>
      <c r="B932" s="1"/>
      <c r="C932" s="1"/>
      <c r="D932" s="1"/>
      <c r="E932" s="1"/>
      <c r="F932" s="1"/>
      <c r="G932" s="1"/>
      <c r="H932" s="1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x14ac:dyDescent="0.25">
      <c r="A933" s="1"/>
      <c r="B933" s="1"/>
      <c r="C933" s="1"/>
      <c r="D933" s="1"/>
      <c r="E933" s="1"/>
      <c r="F933" s="1"/>
      <c r="G933" s="1"/>
      <c r="H933" s="1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x14ac:dyDescent="0.25">
      <c r="A934" s="1"/>
      <c r="B934" s="1"/>
      <c r="C934" s="1"/>
      <c r="D934" s="1"/>
      <c r="E934" s="1"/>
      <c r="F934" s="1"/>
      <c r="G934" s="1"/>
      <c r="H934" s="1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x14ac:dyDescent="0.25">
      <c r="A935" s="1"/>
      <c r="B935" s="1"/>
      <c r="C935" s="1"/>
      <c r="D935" s="1"/>
      <c r="E935" s="1"/>
      <c r="F935" s="1"/>
      <c r="G935" s="1"/>
      <c r="H935" s="1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x14ac:dyDescent="0.25">
      <c r="A936" s="1"/>
      <c r="B936" s="1"/>
      <c r="C936" s="1"/>
      <c r="D936" s="1"/>
      <c r="E936" s="1"/>
      <c r="F936" s="1"/>
      <c r="G936" s="1"/>
      <c r="H936" s="1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x14ac:dyDescent="0.25">
      <c r="A937" s="1"/>
      <c r="B937" s="1"/>
      <c r="C937" s="1"/>
      <c r="D937" s="1"/>
      <c r="E937" s="1"/>
      <c r="F937" s="1"/>
      <c r="G937" s="1"/>
      <c r="H937" s="1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x14ac:dyDescent="0.25">
      <c r="A938" s="1"/>
      <c r="B938" s="1"/>
      <c r="C938" s="1"/>
      <c r="D938" s="1"/>
      <c r="E938" s="1"/>
      <c r="F938" s="1"/>
      <c r="G938" s="1"/>
      <c r="H938" s="1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x14ac:dyDescent="0.25">
      <c r="A939" s="1"/>
      <c r="B939" s="1"/>
      <c r="C939" s="1"/>
      <c r="D939" s="1"/>
      <c r="E939" s="1"/>
      <c r="F939" s="1"/>
      <c r="G939" s="1"/>
      <c r="H939" s="1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x14ac:dyDescent="0.25">
      <c r="A940" s="1"/>
      <c r="B940" s="1"/>
      <c r="C940" s="1"/>
      <c r="D940" s="1"/>
      <c r="E940" s="1"/>
      <c r="F940" s="1"/>
      <c r="G940" s="1"/>
      <c r="H940" s="1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x14ac:dyDescent="0.25">
      <c r="A941" s="1"/>
      <c r="B941" s="1"/>
      <c r="C941" s="1"/>
      <c r="D941" s="1"/>
      <c r="E941" s="1"/>
      <c r="F941" s="1"/>
      <c r="G941" s="1"/>
      <c r="H941" s="1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x14ac:dyDescent="0.25">
      <c r="A942" s="1"/>
      <c r="B942" s="1"/>
      <c r="C942" s="1"/>
      <c r="D942" s="1"/>
      <c r="E942" s="1"/>
      <c r="F942" s="1"/>
      <c r="G942" s="1"/>
      <c r="H942" s="1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x14ac:dyDescent="0.25">
      <c r="A943" s="1"/>
      <c r="B943" s="1"/>
      <c r="C943" s="1"/>
      <c r="D943" s="1"/>
      <c r="E943" s="1"/>
      <c r="F943" s="1"/>
      <c r="G943" s="1"/>
      <c r="H943" s="1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x14ac:dyDescent="0.25">
      <c r="A944" s="1"/>
      <c r="B944" s="1"/>
      <c r="C944" s="1"/>
      <c r="D944" s="1"/>
      <c r="E944" s="1"/>
      <c r="F944" s="1"/>
      <c r="G944" s="1"/>
      <c r="H944" s="1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x14ac:dyDescent="0.25">
      <c r="A945" s="1"/>
      <c r="B945" s="1"/>
      <c r="C945" s="1"/>
      <c r="D945" s="1"/>
      <c r="E945" s="1"/>
      <c r="F945" s="1"/>
      <c r="G945" s="1"/>
      <c r="H945" s="1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x14ac:dyDescent="0.25">
      <c r="A946" s="1"/>
      <c r="B946" s="1"/>
      <c r="C946" s="1"/>
      <c r="D946" s="1"/>
      <c r="E946" s="1"/>
      <c r="F946" s="1"/>
      <c r="G946" s="1"/>
      <c r="H946" s="1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x14ac:dyDescent="0.25">
      <c r="A947" s="1"/>
      <c r="B947" s="1"/>
      <c r="C947" s="1"/>
      <c r="D947" s="1"/>
      <c r="E947" s="1"/>
      <c r="F947" s="1"/>
      <c r="G947" s="1"/>
      <c r="H947" s="1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x14ac:dyDescent="0.25">
      <c r="A948" s="1"/>
      <c r="B948" s="1"/>
      <c r="C948" s="1"/>
      <c r="D948" s="1"/>
      <c r="E948" s="1"/>
      <c r="F948" s="1"/>
      <c r="G948" s="1"/>
      <c r="H948" s="1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x14ac:dyDescent="0.25">
      <c r="A949" s="1"/>
      <c r="B949" s="1"/>
      <c r="C949" s="1"/>
      <c r="D949" s="1"/>
      <c r="E949" s="1"/>
      <c r="F949" s="1"/>
      <c r="G949" s="1"/>
      <c r="H949" s="1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x14ac:dyDescent="0.25">
      <c r="A950" s="1"/>
      <c r="B950" s="1"/>
      <c r="C950" s="1"/>
      <c r="D950" s="1"/>
      <c r="E950" s="1"/>
      <c r="F950" s="1"/>
      <c r="G950" s="1"/>
      <c r="H950" s="1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x14ac:dyDescent="0.25">
      <c r="A951" s="1"/>
      <c r="B951" s="1"/>
      <c r="C951" s="1"/>
      <c r="D951" s="1"/>
      <c r="E951" s="1"/>
      <c r="F951" s="1"/>
      <c r="G951" s="1"/>
      <c r="H951" s="1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x14ac:dyDescent="0.25">
      <c r="A952" s="1"/>
      <c r="B952" s="1"/>
      <c r="C952" s="1"/>
      <c r="D952" s="1"/>
      <c r="E952" s="1"/>
      <c r="F952" s="1"/>
      <c r="G952" s="1"/>
      <c r="H952" s="1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x14ac:dyDescent="0.25">
      <c r="A953" s="1"/>
      <c r="B953" s="1"/>
      <c r="C953" s="1"/>
      <c r="D953" s="1"/>
      <c r="E953" s="1"/>
      <c r="F953" s="1"/>
      <c r="G953" s="1"/>
      <c r="H953" s="1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x14ac:dyDescent="0.25">
      <c r="A954" s="1"/>
      <c r="B954" s="1"/>
      <c r="C954" s="1"/>
      <c r="D954" s="1"/>
      <c r="E954" s="1"/>
      <c r="F954" s="1"/>
      <c r="G954" s="1"/>
      <c r="H954" s="1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x14ac:dyDescent="0.25">
      <c r="A955" s="1"/>
      <c r="B955" s="1"/>
      <c r="C955" s="1"/>
      <c r="D955" s="1"/>
      <c r="E955" s="1"/>
      <c r="F955" s="1"/>
      <c r="G955" s="1"/>
      <c r="H955" s="1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x14ac:dyDescent="0.25">
      <c r="A956" s="1"/>
      <c r="B956" s="1"/>
      <c r="C956" s="1"/>
      <c r="D956" s="1"/>
      <c r="E956" s="1"/>
      <c r="F956" s="1"/>
      <c r="G956" s="1"/>
      <c r="H956" s="1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x14ac:dyDescent="0.25">
      <c r="A957" s="1"/>
      <c r="B957" s="1"/>
      <c r="C957" s="1"/>
      <c r="D957" s="1"/>
      <c r="E957" s="1"/>
      <c r="F957" s="1"/>
      <c r="G957" s="1"/>
      <c r="H957" s="1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x14ac:dyDescent="0.25">
      <c r="A958" s="1"/>
      <c r="B958" s="1"/>
      <c r="C958" s="1"/>
      <c r="D958" s="1"/>
      <c r="E958" s="1"/>
      <c r="F958" s="1"/>
      <c r="G958" s="1"/>
      <c r="H958" s="1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x14ac:dyDescent="0.25">
      <c r="A959" s="1"/>
      <c r="B959" s="1"/>
      <c r="C959" s="1"/>
      <c r="D959" s="1"/>
      <c r="E959" s="1"/>
      <c r="F959" s="1"/>
      <c r="G959" s="1"/>
      <c r="H959" s="1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x14ac:dyDescent="0.25">
      <c r="A960" s="1"/>
      <c r="B960" s="1"/>
      <c r="C960" s="1"/>
      <c r="D960" s="1"/>
      <c r="E960" s="1"/>
      <c r="F960" s="1"/>
      <c r="G960" s="1"/>
      <c r="H960" s="1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x14ac:dyDescent="0.25">
      <c r="A961" s="1"/>
      <c r="B961" s="1"/>
      <c r="C961" s="1"/>
      <c r="D961" s="1"/>
      <c r="E961" s="1"/>
      <c r="F961" s="1"/>
      <c r="G961" s="1"/>
      <c r="H961" s="1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x14ac:dyDescent="0.25">
      <c r="A962" s="1"/>
      <c r="B962" s="1"/>
      <c r="C962" s="1"/>
      <c r="D962" s="1"/>
      <c r="E962" s="1"/>
      <c r="F962" s="1"/>
      <c r="G962" s="1"/>
      <c r="H962" s="1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x14ac:dyDescent="0.25">
      <c r="A963" s="1"/>
      <c r="B963" s="1"/>
      <c r="C963" s="1"/>
      <c r="D963" s="1"/>
      <c r="E963" s="1"/>
      <c r="F963" s="1"/>
      <c r="G963" s="1"/>
      <c r="H963" s="1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x14ac:dyDescent="0.25">
      <c r="A964" s="1"/>
      <c r="B964" s="1"/>
      <c r="C964" s="1"/>
      <c r="D964" s="1"/>
      <c r="E964" s="1"/>
      <c r="F964" s="1"/>
      <c r="G964" s="1"/>
      <c r="H964" s="1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x14ac:dyDescent="0.25">
      <c r="A965" s="1"/>
      <c r="B965" s="1"/>
      <c r="C965" s="1"/>
      <c r="D965" s="1"/>
      <c r="E965" s="1"/>
      <c r="F965" s="1"/>
      <c r="G965" s="1"/>
      <c r="H965" s="1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x14ac:dyDescent="0.25">
      <c r="A966" s="1"/>
      <c r="B966" s="1"/>
      <c r="C966" s="1"/>
      <c r="D966" s="1"/>
      <c r="E966" s="1"/>
      <c r="F966" s="1"/>
      <c r="G966" s="1"/>
      <c r="H966" s="1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x14ac:dyDescent="0.25">
      <c r="A967" s="1"/>
      <c r="B967" s="1"/>
      <c r="C967" s="1"/>
      <c r="D967" s="1"/>
      <c r="E967" s="1"/>
      <c r="F967" s="1"/>
      <c r="G967" s="1"/>
      <c r="H967" s="1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x14ac:dyDescent="0.25">
      <c r="A968" s="1"/>
      <c r="B968" s="1"/>
      <c r="C968" s="1"/>
      <c r="D968" s="1"/>
      <c r="E968" s="1"/>
      <c r="F968" s="1"/>
      <c r="G968" s="1"/>
      <c r="H968" s="1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x14ac:dyDescent="0.25">
      <c r="A969" s="1"/>
      <c r="B969" s="1"/>
      <c r="C969" s="1"/>
      <c r="D969" s="1"/>
      <c r="E969" s="1"/>
      <c r="F969" s="1"/>
      <c r="G969" s="1"/>
      <c r="H969" s="1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x14ac:dyDescent="0.25">
      <c r="A970" s="1"/>
      <c r="B970" s="1"/>
      <c r="C970" s="1"/>
      <c r="D970" s="1"/>
      <c r="E970" s="1"/>
      <c r="F970" s="1"/>
      <c r="G970" s="1"/>
      <c r="H970" s="1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x14ac:dyDescent="0.25">
      <c r="A971" s="1"/>
      <c r="B971" s="1"/>
      <c r="C971" s="1"/>
      <c r="D971" s="1"/>
      <c r="E971" s="1"/>
      <c r="F971" s="1"/>
      <c r="G971" s="1"/>
      <c r="H971" s="1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x14ac:dyDescent="0.25">
      <c r="A972" s="1"/>
      <c r="B972" s="1"/>
      <c r="C972" s="1"/>
      <c r="D972" s="1"/>
      <c r="E972" s="1"/>
      <c r="F972" s="1"/>
      <c r="G972" s="1"/>
      <c r="H972" s="1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x14ac:dyDescent="0.25">
      <c r="A973" s="1"/>
      <c r="B973" s="1"/>
      <c r="C973" s="1"/>
      <c r="D973" s="1"/>
      <c r="E973" s="1"/>
      <c r="F973" s="1"/>
      <c r="G973" s="1"/>
      <c r="H973" s="1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x14ac:dyDescent="0.25">
      <c r="A974" s="1"/>
      <c r="B974" s="1"/>
      <c r="C974" s="1"/>
      <c r="D974" s="1"/>
      <c r="E974" s="1"/>
      <c r="F974" s="1"/>
      <c r="G974" s="1"/>
      <c r="H974" s="1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x14ac:dyDescent="0.25">
      <c r="A975" s="1"/>
      <c r="B975" s="1"/>
      <c r="C975" s="1"/>
      <c r="D975" s="1"/>
      <c r="E975" s="1"/>
      <c r="F975" s="1"/>
      <c r="G975" s="1"/>
      <c r="H975" s="1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x14ac:dyDescent="0.25">
      <c r="A976" s="1"/>
      <c r="B976" s="1"/>
      <c r="C976" s="1"/>
      <c r="D976" s="1"/>
      <c r="E976" s="1"/>
      <c r="F976" s="1"/>
      <c r="G976" s="1"/>
      <c r="H976" s="1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x14ac:dyDescent="0.25">
      <c r="A977" s="1"/>
      <c r="B977" s="1"/>
      <c r="C977" s="1"/>
      <c r="D977" s="1"/>
      <c r="E977" s="1"/>
      <c r="F977" s="1"/>
      <c r="G977" s="1"/>
      <c r="H977" s="1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x14ac:dyDescent="0.25">
      <c r="A978" s="1"/>
      <c r="B978" s="1"/>
      <c r="C978" s="1"/>
      <c r="D978" s="1"/>
      <c r="E978" s="1"/>
      <c r="F978" s="1"/>
      <c r="G978" s="1"/>
      <c r="H978" s="1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x14ac:dyDescent="0.25">
      <c r="A979" s="1"/>
      <c r="B979" s="1"/>
      <c r="C979" s="1"/>
      <c r="D979" s="1"/>
      <c r="E979" s="1"/>
      <c r="F979" s="1"/>
      <c r="G979" s="1"/>
      <c r="H979" s="1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x14ac:dyDescent="0.25">
      <c r="A980" s="1"/>
      <c r="B980" s="1"/>
      <c r="C980" s="1"/>
      <c r="D980" s="1"/>
      <c r="E980" s="1"/>
      <c r="F980" s="1"/>
      <c r="G980" s="1"/>
      <c r="H980" s="1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x14ac:dyDescent="0.25">
      <c r="A981" s="1"/>
      <c r="B981" s="1"/>
      <c r="C981" s="1"/>
      <c r="D981" s="1"/>
      <c r="E981" s="1"/>
      <c r="F981" s="1"/>
      <c r="G981" s="1"/>
      <c r="H981" s="1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x14ac:dyDescent="0.25">
      <c r="A982" s="1"/>
      <c r="B982" s="1"/>
      <c r="C982" s="1"/>
      <c r="D982" s="1"/>
      <c r="E982" s="1"/>
      <c r="F982" s="1"/>
      <c r="G982" s="1"/>
      <c r="H982" s="1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x14ac:dyDescent="0.25">
      <c r="A983" s="1"/>
      <c r="B983" s="1"/>
      <c r="C983" s="1"/>
      <c r="D983" s="1"/>
      <c r="E983" s="1"/>
      <c r="F983" s="1"/>
      <c r="G983" s="1"/>
      <c r="H983" s="1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x14ac:dyDescent="0.25">
      <c r="A984" s="1"/>
      <c r="B984" s="1"/>
      <c r="C984" s="1"/>
      <c r="D984" s="1"/>
      <c r="E984" s="1"/>
      <c r="F984" s="1"/>
      <c r="G984" s="1"/>
      <c r="H984" s="1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x14ac:dyDescent="0.25">
      <c r="A985" s="1"/>
      <c r="B985" s="1"/>
      <c r="C985" s="1"/>
      <c r="D985" s="1"/>
      <c r="E985" s="1"/>
      <c r="F985" s="1"/>
      <c r="G985" s="1"/>
      <c r="H985" s="1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x14ac:dyDescent="0.25">
      <c r="A986" s="1"/>
      <c r="B986" s="1"/>
      <c r="C986" s="1"/>
      <c r="D986" s="1"/>
      <c r="E986" s="1"/>
      <c r="F986" s="1"/>
      <c r="G986" s="1"/>
      <c r="H986" s="1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x14ac:dyDescent="0.25">
      <c r="A987" s="1"/>
      <c r="B987" s="1"/>
      <c r="C987" s="1"/>
      <c r="D987" s="1"/>
      <c r="E987" s="1"/>
      <c r="F987" s="1"/>
      <c r="G987" s="1"/>
      <c r="H987" s="1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x14ac:dyDescent="0.25">
      <c r="A988" s="1"/>
      <c r="B988" s="1"/>
      <c r="C988" s="1"/>
      <c r="D988" s="1"/>
      <c r="E988" s="1"/>
      <c r="F988" s="1"/>
      <c r="G988" s="1"/>
      <c r="H988" s="1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x14ac:dyDescent="0.25">
      <c r="A989" s="1"/>
      <c r="B989" s="1"/>
      <c r="C989" s="1"/>
      <c r="D989" s="1"/>
      <c r="E989" s="1"/>
      <c r="F989" s="1"/>
      <c r="G989" s="1"/>
      <c r="H989" s="1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x14ac:dyDescent="0.25">
      <c r="A990" s="1"/>
      <c r="B990" s="1"/>
      <c r="C990" s="1"/>
      <c r="D990" s="1"/>
      <c r="E990" s="1"/>
      <c r="F990" s="1"/>
      <c r="G990" s="1"/>
      <c r="H990" s="1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x14ac:dyDescent="0.25">
      <c r="A991" s="1"/>
      <c r="B991" s="1"/>
      <c r="C991" s="1"/>
      <c r="D991" s="1"/>
      <c r="E991" s="1"/>
      <c r="F991" s="1"/>
      <c r="G991" s="1"/>
      <c r="H991" s="1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x14ac:dyDescent="0.25">
      <c r="A992" s="1"/>
      <c r="B992" s="1"/>
      <c r="C992" s="1"/>
      <c r="D992" s="1"/>
      <c r="E992" s="1"/>
      <c r="F992" s="1"/>
      <c r="G992" s="1"/>
      <c r="H992" s="1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x14ac:dyDescent="0.25">
      <c r="A993" s="1"/>
      <c r="B993" s="1"/>
      <c r="C993" s="1"/>
      <c r="D993" s="1"/>
      <c r="E993" s="1"/>
      <c r="F993" s="1"/>
      <c r="G993" s="1"/>
      <c r="H993" s="1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x14ac:dyDescent="0.25">
      <c r="A994" s="1"/>
      <c r="B994" s="1"/>
      <c r="C994" s="1"/>
      <c r="D994" s="1"/>
      <c r="E994" s="1"/>
      <c r="F994" s="1"/>
      <c r="G994" s="1"/>
      <c r="H994" s="1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x14ac:dyDescent="0.25">
      <c r="A995" s="1"/>
      <c r="B995" s="1"/>
      <c r="C995" s="1"/>
      <c r="D995" s="1"/>
      <c r="E995" s="1"/>
      <c r="F995" s="1"/>
      <c r="G995" s="1"/>
      <c r="H995" s="1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x14ac:dyDescent="0.25">
      <c r="A996" s="1"/>
      <c r="B996" s="1"/>
      <c r="C996" s="1"/>
      <c r="D996" s="1"/>
      <c r="E996" s="1"/>
      <c r="F996" s="1"/>
      <c r="G996" s="1"/>
      <c r="H996" s="1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x14ac:dyDescent="0.25">
      <c r="A997" s="1"/>
      <c r="B997" s="1"/>
      <c r="C997" s="1"/>
      <c r="D997" s="1"/>
      <c r="E997" s="1"/>
      <c r="F997" s="1"/>
      <c r="G997" s="1"/>
      <c r="H997" s="1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x14ac:dyDescent="0.25">
      <c r="A998" s="1"/>
      <c r="B998" s="1"/>
      <c r="C998" s="1"/>
      <c r="D998" s="1"/>
      <c r="E998" s="1"/>
      <c r="F998" s="1"/>
      <c r="G998" s="1"/>
      <c r="H998" s="1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x14ac:dyDescent="0.25">
      <c r="A999" s="1"/>
      <c r="B999" s="1"/>
      <c r="C999" s="1"/>
      <c r="D999" s="1"/>
      <c r="E999" s="1"/>
      <c r="F999" s="1"/>
      <c r="G999" s="1"/>
      <c r="H999" s="1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x14ac:dyDescent="0.25">
      <c r="A1000" s="1"/>
      <c r="B1000" s="1"/>
      <c r="C1000" s="1"/>
      <c r="D1000" s="1"/>
      <c r="E1000" s="1"/>
      <c r="F1000" s="1"/>
      <c r="G1000" s="1"/>
      <c r="H1000" s="1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B3:E4"/>
    <mergeCell ref="C5:D5"/>
    <mergeCell ref="C6:D6"/>
    <mergeCell ref="C7:D7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1.21875" defaultRowHeight="15" customHeight="1" x14ac:dyDescent="0.2"/>
  <cols>
    <col min="1" max="1" width="3.77734375" customWidth="1"/>
    <col min="2" max="2" width="10.44140625" customWidth="1"/>
    <col min="3" max="4" width="10.77734375" customWidth="1"/>
    <col min="5" max="5" width="10" customWidth="1"/>
    <col min="6" max="6" width="10.77734375" customWidth="1"/>
    <col min="7" max="7" width="9.77734375" customWidth="1"/>
    <col min="8" max="8" width="3.21875" customWidth="1"/>
    <col min="9" max="9" width="7.88671875" customWidth="1"/>
    <col min="10" max="10" width="6.44140625" customWidth="1"/>
    <col min="11" max="11" width="11.109375" customWidth="1"/>
    <col min="12" max="22" width="8.77734375" customWidth="1"/>
    <col min="23" max="26" width="8" customWidth="1"/>
  </cols>
  <sheetData>
    <row r="1" spans="1:26" ht="12.75" customHeight="1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62"/>
      <c r="X1" s="62"/>
      <c r="Y1" s="62"/>
      <c r="Z1" s="62"/>
    </row>
    <row r="2" spans="1:26" ht="24.75" customHeight="1" x14ac:dyDescent="0.2">
      <c r="A2" s="109"/>
      <c r="B2" s="352" t="s">
        <v>136</v>
      </c>
      <c r="C2" s="298"/>
      <c r="D2" s="298"/>
      <c r="E2" s="298"/>
      <c r="F2" s="298"/>
      <c r="G2" s="298"/>
      <c r="H2" s="298"/>
      <c r="I2" s="298"/>
      <c r="J2" s="298"/>
      <c r="K2" s="298"/>
      <c r="L2" s="274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62"/>
      <c r="X2" s="62"/>
      <c r="Y2" s="62"/>
      <c r="Z2" s="62"/>
    </row>
    <row r="3" spans="1:26" ht="12.75" customHeight="1" x14ac:dyDescent="0.2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62"/>
      <c r="X3" s="62"/>
      <c r="Y3" s="62"/>
      <c r="Z3" s="62"/>
    </row>
    <row r="4" spans="1:26" ht="31.5" customHeight="1" x14ac:dyDescent="0.2">
      <c r="A4" s="109"/>
      <c r="B4" s="109"/>
      <c r="C4" s="311" t="s">
        <v>121</v>
      </c>
      <c r="D4" s="313"/>
      <c r="E4" s="110" t="s">
        <v>26</v>
      </c>
      <c r="F4" s="110" t="s">
        <v>27</v>
      </c>
      <c r="G4" s="110" t="s">
        <v>28</v>
      </c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62"/>
      <c r="X4" s="62"/>
      <c r="Y4" s="62"/>
      <c r="Z4" s="62"/>
    </row>
    <row r="5" spans="1:26" ht="18" customHeight="1" x14ac:dyDescent="0.2">
      <c r="A5" s="109"/>
      <c r="B5" s="109"/>
      <c r="C5" s="351">
        <v>250000</v>
      </c>
      <c r="D5" s="282"/>
      <c r="E5" s="111">
        <v>20</v>
      </c>
      <c r="F5" s="111">
        <v>1</v>
      </c>
      <c r="G5" s="112">
        <v>11</v>
      </c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62"/>
      <c r="X5" s="62"/>
      <c r="Y5" s="62"/>
      <c r="Z5" s="62"/>
    </row>
    <row r="6" spans="1:26" ht="12.75" customHeight="1" x14ac:dyDescent="0.2">
      <c r="A6" s="109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62"/>
      <c r="X6" s="62"/>
      <c r="Y6" s="62"/>
      <c r="Z6" s="62"/>
    </row>
    <row r="7" spans="1:26" ht="12.75" customHeight="1" x14ac:dyDescent="0.2">
      <c r="A7" s="109"/>
      <c r="B7" s="113"/>
      <c r="C7" s="114" t="s">
        <v>137</v>
      </c>
      <c r="D7" s="114">
        <f>F5</f>
        <v>1</v>
      </c>
      <c r="E7" s="114" t="s">
        <v>138</v>
      </c>
      <c r="F7" s="114">
        <f>E5</f>
        <v>20</v>
      </c>
      <c r="G7" s="135">
        <f>G5/100</f>
        <v>0.11</v>
      </c>
      <c r="H7" s="114"/>
      <c r="I7" s="114"/>
      <c r="J7" s="114"/>
      <c r="K7" s="114"/>
      <c r="L7" s="116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62"/>
      <c r="X7" s="62"/>
      <c r="Y7" s="62"/>
      <c r="Z7" s="62"/>
    </row>
    <row r="8" spans="1:26" ht="12.75" customHeight="1" x14ac:dyDescent="0.2">
      <c r="A8" s="109"/>
      <c r="B8" s="137" t="s">
        <v>122</v>
      </c>
      <c r="C8" s="138" t="s">
        <v>123</v>
      </c>
      <c r="D8" s="138" t="s">
        <v>124</v>
      </c>
      <c r="E8" s="138" t="s">
        <v>125</v>
      </c>
      <c r="F8" s="138" t="s">
        <v>126</v>
      </c>
      <c r="G8" s="138" t="s">
        <v>127</v>
      </c>
      <c r="H8" s="138" t="s">
        <v>128</v>
      </c>
      <c r="I8" s="139" t="s">
        <v>129</v>
      </c>
      <c r="J8" s="140" t="s">
        <v>92</v>
      </c>
      <c r="K8" s="138" t="s">
        <v>131</v>
      </c>
      <c r="L8" s="141" t="s">
        <v>139</v>
      </c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62"/>
      <c r="X8" s="62"/>
      <c r="Y8" s="62"/>
      <c r="Z8" s="62"/>
    </row>
    <row r="9" spans="1:26" ht="12.75" customHeight="1" x14ac:dyDescent="0.2">
      <c r="A9" s="109"/>
      <c r="B9" s="119"/>
      <c r="C9" s="120"/>
      <c r="D9" s="120"/>
      <c r="E9" s="120"/>
      <c r="F9" s="120"/>
      <c r="G9" s="121">
        <f>C5</f>
        <v>250000</v>
      </c>
      <c r="H9" s="120"/>
      <c r="I9" s="121"/>
      <c r="J9" s="120"/>
      <c r="K9" s="121">
        <f>G9</f>
        <v>250000</v>
      </c>
      <c r="L9" s="142">
        <v>0</v>
      </c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62"/>
      <c r="X9" s="62"/>
      <c r="Y9" s="62"/>
      <c r="Z9" s="62"/>
    </row>
    <row r="10" spans="1:26" ht="12.75" customHeight="1" x14ac:dyDescent="0.2">
      <c r="A10" s="109"/>
      <c r="B10" s="125">
        <f>C10+B9</f>
        <v>27500</v>
      </c>
      <c r="C10" s="121">
        <f t="shared" ref="C10:C29" si="0">TRUNC(G9*$G$7,2)</f>
        <v>27500</v>
      </c>
      <c r="D10" s="121">
        <f t="shared" ref="D10:D29" si="1">TRUNC(C10,2)</f>
        <v>27500</v>
      </c>
      <c r="E10" s="121">
        <f t="shared" ref="E10:E29" si="2">TRUNC(IF(J10="Sim",0,F10-B10),2)</f>
        <v>0</v>
      </c>
      <c r="F10" s="121">
        <f>TRUNC(IF(J10="Sim",D10,PMT(G7,F7,-G9)),2)</f>
        <v>27500</v>
      </c>
      <c r="G10" s="121">
        <f t="shared" ref="G10:G29" si="3">G9-E10</f>
        <v>250000</v>
      </c>
      <c r="H10" s="120">
        <v>1</v>
      </c>
      <c r="I10" s="126">
        <f t="shared" ref="I10:I29" si="4">IF(K9=0,0,E10/K9)</f>
        <v>0</v>
      </c>
      <c r="J10" s="120" t="str">
        <f t="shared" ref="J10:J29" si="5">IF(H10&lt;=$F$5,"Sim","Não")</f>
        <v>Sim</v>
      </c>
      <c r="K10" s="121">
        <f t="shared" ref="K10:K29" si="6">K9-E10</f>
        <v>250000</v>
      </c>
      <c r="L10" s="142">
        <v>1</v>
      </c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62"/>
      <c r="X10" s="62"/>
      <c r="Y10" s="62"/>
      <c r="Z10" s="62"/>
    </row>
    <row r="11" spans="1:26" ht="12.75" customHeight="1" x14ac:dyDescent="0.2">
      <c r="A11" s="109"/>
      <c r="B11" s="125">
        <f t="shared" ref="B11:B29" si="7">C11+B10-D10</f>
        <v>27500</v>
      </c>
      <c r="C11" s="121">
        <f t="shared" si="0"/>
        <v>27500</v>
      </c>
      <c r="D11" s="121">
        <f t="shared" si="1"/>
        <v>27500</v>
      </c>
      <c r="E11" s="121">
        <f t="shared" si="2"/>
        <v>4390.62</v>
      </c>
      <c r="F11" s="121">
        <f>TRUNC(IF(E5=1,0,IF(J11="Sim",D11,PMT($G$7,$F$7-L10,-G10))),2)</f>
        <v>31890.62</v>
      </c>
      <c r="G11" s="121">
        <f t="shared" si="3"/>
        <v>245609.38</v>
      </c>
      <c r="H11" s="120">
        <v>2</v>
      </c>
      <c r="I11" s="126">
        <f t="shared" si="4"/>
        <v>1.7562479999999998E-2</v>
      </c>
      <c r="J11" s="120" t="str">
        <f t="shared" si="5"/>
        <v>Não</v>
      </c>
      <c r="K11" s="121">
        <f t="shared" si="6"/>
        <v>245609.38</v>
      </c>
      <c r="L11" s="142">
        <v>2</v>
      </c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62"/>
      <c r="X11" s="62"/>
      <c r="Y11" s="62"/>
      <c r="Z11" s="62"/>
    </row>
    <row r="12" spans="1:26" ht="12.75" customHeight="1" x14ac:dyDescent="0.2">
      <c r="A12" s="109"/>
      <c r="B12" s="125">
        <f t="shared" si="7"/>
        <v>27017.03</v>
      </c>
      <c r="C12" s="121">
        <f t="shared" si="0"/>
        <v>27017.03</v>
      </c>
      <c r="D12" s="121">
        <f t="shared" si="1"/>
        <v>27017.03</v>
      </c>
      <c r="E12" s="121">
        <f t="shared" si="2"/>
        <v>4873.59</v>
      </c>
      <c r="F12" s="121">
        <f t="shared" ref="F12:F29" si="8">TRUNC(IF(H12&gt;$F$7,0,IF(J12="Sim",D12,PMT($G$7,$F$7-L11,-G11))),2)</f>
        <v>31890.62</v>
      </c>
      <c r="G12" s="121">
        <f t="shared" si="3"/>
        <v>240735.79</v>
      </c>
      <c r="H12" s="120">
        <v>3</v>
      </c>
      <c r="I12" s="126">
        <f t="shared" si="4"/>
        <v>1.9842849650123298E-2</v>
      </c>
      <c r="J12" s="120" t="str">
        <f t="shared" si="5"/>
        <v>Não</v>
      </c>
      <c r="K12" s="121">
        <f t="shared" si="6"/>
        <v>240735.79</v>
      </c>
      <c r="L12" s="142">
        <v>3</v>
      </c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62"/>
      <c r="X12" s="62"/>
      <c r="Y12" s="62"/>
      <c r="Z12" s="62"/>
    </row>
    <row r="13" spans="1:26" ht="12.75" customHeight="1" x14ac:dyDescent="0.2">
      <c r="A13" s="109"/>
      <c r="B13" s="125">
        <f t="shared" si="7"/>
        <v>26480.93</v>
      </c>
      <c r="C13" s="121">
        <f t="shared" si="0"/>
        <v>26480.93</v>
      </c>
      <c r="D13" s="121">
        <f t="shared" si="1"/>
        <v>26480.93</v>
      </c>
      <c r="E13" s="121">
        <f t="shared" si="2"/>
        <v>5409.69</v>
      </c>
      <c r="F13" s="121">
        <f t="shared" si="8"/>
        <v>31890.62</v>
      </c>
      <c r="G13" s="121">
        <f t="shared" si="3"/>
        <v>235326.1</v>
      </c>
      <c r="H13" s="120">
        <v>4</v>
      </c>
      <c r="I13" s="126">
        <f t="shared" si="4"/>
        <v>2.2471482117386865E-2</v>
      </c>
      <c r="J13" s="120" t="str">
        <f t="shared" si="5"/>
        <v>Não</v>
      </c>
      <c r="K13" s="121">
        <f t="shared" si="6"/>
        <v>235326.1</v>
      </c>
      <c r="L13" s="142">
        <v>4</v>
      </c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62"/>
      <c r="X13" s="62"/>
      <c r="Y13" s="62"/>
      <c r="Z13" s="62"/>
    </row>
    <row r="14" spans="1:26" ht="12.75" customHeight="1" x14ac:dyDescent="0.2">
      <c r="A14" s="109"/>
      <c r="B14" s="125">
        <f t="shared" si="7"/>
        <v>25885.870000000003</v>
      </c>
      <c r="C14" s="121">
        <f t="shared" si="0"/>
        <v>25885.87</v>
      </c>
      <c r="D14" s="121">
        <f t="shared" si="1"/>
        <v>25885.87</v>
      </c>
      <c r="E14" s="121">
        <f t="shared" si="2"/>
        <v>6004.75</v>
      </c>
      <c r="F14" s="121">
        <f t="shared" si="8"/>
        <v>31890.62</v>
      </c>
      <c r="G14" s="121">
        <f t="shared" si="3"/>
        <v>229321.35</v>
      </c>
      <c r="H14" s="120">
        <v>5</v>
      </c>
      <c r="I14" s="126">
        <f t="shared" si="4"/>
        <v>2.5516719139950902E-2</v>
      </c>
      <c r="J14" s="120" t="str">
        <f t="shared" si="5"/>
        <v>Não</v>
      </c>
      <c r="K14" s="121">
        <f t="shared" si="6"/>
        <v>229321.35</v>
      </c>
      <c r="L14" s="142">
        <v>5</v>
      </c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62"/>
      <c r="X14" s="62"/>
      <c r="Y14" s="62"/>
      <c r="Z14" s="62"/>
    </row>
    <row r="15" spans="1:26" ht="12.75" customHeight="1" x14ac:dyDescent="0.2">
      <c r="A15" s="109"/>
      <c r="B15" s="125">
        <f t="shared" si="7"/>
        <v>25225.340000000007</v>
      </c>
      <c r="C15" s="121">
        <f t="shared" si="0"/>
        <v>25225.34</v>
      </c>
      <c r="D15" s="121">
        <f t="shared" si="1"/>
        <v>25225.34</v>
      </c>
      <c r="E15" s="121">
        <f t="shared" si="2"/>
        <v>6665.27</v>
      </c>
      <c r="F15" s="121">
        <f t="shared" si="8"/>
        <v>31890.62</v>
      </c>
      <c r="G15" s="121">
        <f t="shared" si="3"/>
        <v>222656.08000000002</v>
      </c>
      <c r="H15" s="120">
        <v>6</v>
      </c>
      <c r="I15" s="126">
        <f t="shared" si="4"/>
        <v>2.9065196066567725E-2</v>
      </c>
      <c r="J15" s="120" t="str">
        <f t="shared" si="5"/>
        <v>Não</v>
      </c>
      <c r="K15" s="121">
        <f t="shared" si="6"/>
        <v>222656.08000000002</v>
      </c>
      <c r="L15" s="142">
        <v>6</v>
      </c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62"/>
      <c r="X15" s="62"/>
      <c r="Y15" s="62"/>
      <c r="Z15" s="62"/>
    </row>
    <row r="16" spans="1:26" ht="12.75" customHeight="1" x14ac:dyDescent="0.2">
      <c r="A16" s="109"/>
      <c r="B16" s="125">
        <f t="shared" si="7"/>
        <v>24492.160000000007</v>
      </c>
      <c r="C16" s="121">
        <f t="shared" si="0"/>
        <v>24492.16</v>
      </c>
      <c r="D16" s="121">
        <f t="shared" si="1"/>
        <v>24492.16</v>
      </c>
      <c r="E16" s="121">
        <f t="shared" si="2"/>
        <v>7398.45</v>
      </c>
      <c r="F16" s="121">
        <f t="shared" si="8"/>
        <v>31890.62</v>
      </c>
      <c r="G16" s="121">
        <f t="shared" si="3"/>
        <v>215257.63</v>
      </c>
      <c r="H16" s="120">
        <v>7</v>
      </c>
      <c r="I16" s="126">
        <f t="shared" si="4"/>
        <v>3.3228151685774761E-2</v>
      </c>
      <c r="J16" s="120" t="str">
        <f t="shared" si="5"/>
        <v>Não</v>
      </c>
      <c r="K16" s="121">
        <f t="shared" si="6"/>
        <v>215257.63</v>
      </c>
      <c r="L16" s="142">
        <v>7</v>
      </c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62"/>
      <c r="X16" s="62"/>
      <c r="Y16" s="62"/>
      <c r="Z16" s="62"/>
    </row>
    <row r="17" spans="1:26" ht="12.75" customHeight="1" x14ac:dyDescent="0.2">
      <c r="A17" s="109"/>
      <c r="B17" s="125">
        <f t="shared" si="7"/>
        <v>23678.330000000005</v>
      </c>
      <c r="C17" s="121">
        <f t="shared" si="0"/>
        <v>23678.33</v>
      </c>
      <c r="D17" s="121">
        <f t="shared" si="1"/>
        <v>23678.33</v>
      </c>
      <c r="E17" s="121">
        <f t="shared" si="2"/>
        <v>8212.2999999999993</v>
      </c>
      <c r="F17" s="121">
        <f t="shared" si="8"/>
        <v>31890.63</v>
      </c>
      <c r="G17" s="121">
        <f t="shared" si="3"/>
        <v>207045.33000000002</v>
      </c>
      <c r="H17" s="120">
        <v>8</v>
      </c>
      <c r="I17" s="126">
        <f t="shared" si="4"/>
        <v>3.8151028606976667E-2</v>
      </c>
      <c r="J17" s="120" t="str">
        <f t="shared" si="5"/>
        <v>Não</v>
      </c>
      <c r="K17" s="121">
        <f t="shared" si="6"/>
        <v>207045.33000000002</v>
      </c>
      <c r="L17" s="142">
        <v>8</v>
      </c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62"/>
      <c r="X17" s="62"/>
      <c r="Y17" s="62"/>
      <c r="Z17" s="62"/>
    </row>
    <row r="18" spans="1:26" ht="12.75" customHeight="1" x14ac:dyDescent="0.2">
      <c r="A18" s="109"/>
      <c r="B18" s="125">
        <f t="shared" si="7"/>
        <v>22774.980000000003</v>
      </c>
      <c r="C18" s="121">
        <f t="shared" si="0"/>
        <v>22774.98</v>
      </c>
      <c r="D18" s="121">
        <f t="shared" si="1"/>
        <v>22774.98</v>
      </c>
      <c r="E18" s="121">
        <f t="shared" si="2"/>
        <v>9115.65</v>
      </c>
      <c r="F18" s="121">
        <f t="shared" si="8"/>
        <v>31890.63</v>
      </c>
      <c r="G18" s="121">
        <f t="shared" si="3"/>
        <v>197929.68000000002</v>
      </c>
      <c r="H18" s="120">
        <v>9</v>
      </c>
      <c r="I18" s="126">
        <f t="shared" si="4"/>
        <v>4.4027315177792223E-2</v>
      </c>
      <c r="J18" s="120" t="str">
        <f t="shared" si="5"/>
        <v>Não</v>
      </c>
      <c r="K18" s="121">
        <f t="shared" si="6"/>
        <v>197929.68000000002</v>
      </c>
      <c r="L18" s="142">
        <v>9</v>
      </c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62"/>
      <c r="X18" s="62"/>
      <c r="Y18" s="62"/>
      <c r="Z18" s="62"/>
    </row>
    <row r="19" spans="1:26" ht="12.75" customHeight="1" x14ac:dyDescent="0.2">
      <c r="A19" s="109"/>
      <c r="B19" s="125">
        <f t="shared" si="7"/>
        <v>21772.260000000006</v>
      </c>
      <c r="C19" s="121">
        <f t="shared" si="0"/>
        <v>21772.26</v>
      </c>
      <c r="D19" s="121">
        <f t="shared" si="1"/>
        <v>21772.26</v>
      </c>
      <c r="E19" s="121">
        <f t="shared" si="2"/>
        <v>10118.36</v>
      </c>
      <c r="F19" s="121">
        <f t="shared" si="8"/>
        <v>31890.62</v>
      </c>
      <c r="G19" s="121">
        <f t="shared" si="3"/>
        <v>187811.32</v>
      </c>
      <c r="H19" s="120">
        <v>10</v>
      </c>
      <c r="I19" s="126">
        <f t="shared" si="4"/>
        <v>5.1120983977744013E-2</v>
      </c>
      <c r="J19" s="120" t="str">
        <f t="shared" si="5"/>
        <v>Não</v>
      </c>
      <c r="K19" s="121">
        <f t="shared" si="6"/>
        <v>187811.32</v>
      </c>
      <c r="L19" s="142">
        <v>10</v>
      </c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62"/>
      <c r="X19" s="62"/>
      <c r="Y19" s="62"/>
      <c r="Z19" s="62"/>
    </row>
    <row r="20" spans="1:26" ht="12.75" customHeight="1" x14ac:dyDescent="0.2">
      <c r="A20" s="109"/>
      <c r="B20" s="125">
        <f t="shared" si="7"/>
        <v>20659.240000000009</v>
      </c>
      <c r="C20" s="121">
        <f t="shared" si="0"/>
        <v>20659.240000000002</v>
      </c>
      <c r="D20" s="121">
        <f t="shared" si="1"/>
        <v>20659.240000000002</v>
      </c>
      <c r="E20" s="121">
        <f t="shared" si="2"/>
        <v>11231.39</v>
      </c>
      <c r="F20" s="121">
        <f t="shared" si="8"/>
        <v>31890.63</v>
      </c>
      <c r="G20" s="121">
        <f t="shared" si="3"/>
        <v>176579.93</v>
      </c>
      <c r="H20" s="120">
        <v>11</v>
      </c>
      <c r="I20" s="126">
        <f t="shared" si="4"/>
        <v>5.9801453927271257E-2</v>
      </c>
      <c r="J20" s="120" t="str">
        <f t="shared" si="5"/>
        <v>Não</v>
      </c>
      <c r="K20" s="121">
        <f t="shared" si="6"/>
        <v>176579.93</v>
      </c>
      <c r="L20" s="142">
        <v>11</v>
      </c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62"/>
      <c r="X20" s="62"/>
      <c r="Y20" s="62"/>
      <c r="Z20" s="62"/>
    </row>
    <row r="21" spans="1:26" ht="12.75" customHeight="1" x14ac:dyDescent="0.2">
      <c r="A21" s="109"/>
      <c r="B21" s="125">
        <f t="shared" si="7"/>
        <v>19423.790000000012</v>
      </c>
      <c r="C21" s="121">
        <f t="shared" si="0"/>
        <v>19423.79</v>
      </c>
      <c r="D21" s="121">
        <f t="shared" si="1"/>
        <v>19423.79</v>
      </c>
      <c r="E21" s="121">
        <f t="shared" si="2"/>
        <v>12466.83</v>
      </c>
      <c r="F21" s="121">
        <f t="shared" si="8"/>
        <v>31890.62</v>
      </c>
      <c r="G21" s="121">
        <f t="shared" si="3"/>
        <v>164113.1</v>
      </c>
      <c r="H21" s="120">
        <v>12</v>
      </c>
      <c r="I21" s="126">
        <f t="shared" si="4"/>
        <v>7.0601624997812612E-2</v>
      </c>
      <c r="J21" s="120" t="str">
        <f t="shared" si="5"/>
        <v>Não</v>
      </c>
      <c r="K21" s="121">
        <f t="shared" si="6"/>
        <v>164113.1</v>
      </c>
      <c r="L21" s="142">
        <v>12</v>
      </c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62"/>
      <c r="X21" s="62"/>
      <c r="Y21" s="62"/>
      <c r="Z21" s="62"/>
    </row>
    <row r="22" spans="1:26" ht="12.75" customHeight="1" x14ac:dyDescent="0.2">
      <c r="A22" s="109"/>
      <c r="B22" s="125">
        <f t="shared" si="7"/>
        <v>18052.44000000001</v>
      </c>
      <c r="C22" s="121">
        <f t="shared" si="0"/>
        <v>18052.439999999999</v>
      </c>
      <c r="D22" s="121">
        <f t="shared" si="1"/>
        <v>18052.439999999999</v>
      </c>
      <c r="E22" s="121">
        <f t="shared" si="2"/>
        <v>13838.19</v>
      </c>
      <c r="F22" s="121">
        <f t="shared" si="8"/>
        <v>31890.63</v>
      </c>
      <c r="G22" s="121">
        <f t="shared" si="3"/>
        <v>150274.91</v>
      </c>
      <c r="H22" s="120">
        <v>13</v>
      </c>
      <c r="I22" s="126">
        <f t="shared" si="4"/>
        <v>8.4321056637160594E-2</v>
      </c>
      <c r="J22" s="120" t="str">
        <f t="shared" si="5"/>
        <v>Não</v>
      </c>
      <c r="K22" s="121">
        <f t="shared" si="6"/>
        <v>150274.91</v>
      </c>
      <c r="L22" s="142">
        <v>13</v>
      </c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62"/>
      <c r="X22" s="62"/>
      <c r="Y22" s="62"/>
      <c r="Z22" s="62"/>
    </row>
    <row r="23" spans="1:26" ht="12.75" customHeight="1" x14ac:dyDescent="0.2">
      <c r="A23" s="109"/>
      <c r="B23" s="125">
        <f t="shared" si="7"/>
        <v>16530.240000000009</v>
      </c>
      <c r="C23" s="121">
        <f t="shared" si="0"/>
        <v>16530.240000000002</v>
      </c>
      <c r="D23" s="121">
        <f t="shared" si="1"/>
        <v>16530.240000000002</v>
      </c>
      <c r="E23" s="121">
        <f t="shared" si="2"/>
        <v>15360.39</v>
      </c>
      <c r="F23" s="121">
        <f t="shared" si="8"/>
        <v>31890.63</v>
      </c>
      <c r="G23" s="121">
        <f t="shared" si="3"/>
        <v>134914.52000000002</v>
      </c>
      <c r="H23" s="120">
        <v>14</v>
      </c>
      <c r="I23" s="126">
        <f t="shared" si="4"/>
        <v>0.10221526667359175</v>
      </c>
      <c r="J23" s="120" t="str">
        <f t="shared" si="5"/>
        <v>Não</v>
      </c>
      <c r="K23" s="121">
        <f t="shared" si="6"/>
        <v>134914.52000000002</v>
      </c>
      <c r="L23" s="142">
        <v>14</v>
      </c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62"/>
      <c r="X23" s="62"/>
      <c r="Y23" s="62"/>
      <c r="Z23" s="62"/>
    </row>
    <row r="24" spans="1:26" ht="12.75" customHeight="1" x14ac:dyDescent="0.2">
      <c r="A24" s="109"/>
      <c r="B24" s="125">
        <f t="shared" si="7"/>
        <v>14840.590000000007</v>
      </c>
      <c r="C24" s="121">
        <f t="shared" si="0"/>
        <v>14840.59</v>
      </c>
      <c r="D24" s="121">
        <f t="shared" si="1"/>
        <v>14840.59</v>
      </c>
      <c r="E24" s="121">
        <f t="shared" si="2"/>
        <v>17050.04</v>
      </c>
      <c r="F24" s="121">
        <f t="shared" si="8"/>
        <v>31890.63</v>
      </c>
      <c r="G24" s="121">
        <f t="shared" si="3"/>
        <v>117864.48000000001</v>
      </c>
      <c r="H24" s="120">
        <v>15</v>
      </c>
      <c r="I24" s="126">
        <f t="shared" si="4"/>
        <v>0.12637661239131265</v>
      </c>
      <c r="J24" s="120" t="str">
        <f t="shared" si="5"/>
        <v>Não</v>
      </c>
      <c r="K24" s="121">
        <f t="shared" si="6"/>
        <v>117864.48000000001</v>
      </c>
      <c r="L24" s="142">
        <v>15</v>
      </c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62"/>
      <c r="X24" s="62"/>
      <c r="Y24" s="62"/>
      <c r="Z24" s="62"/>
    </row>
    <row r="25" spans="1:26" ht="12.75" customHeight="1" x14ac:dyDescent="0.2">
      <c r="A25" s="109"/>
      <c r="B25" s="125">
        <f t="shared" si="7"/>
        <v>12965.090000000007</v>
      </c>
      <c r="C25" s="121">
        <f t="shared" si="0"/>
        <v>12965.09</v>
      </c>
      <c r="D25" s="121">
        <f t="shared" si="1"/>
        <v>12965.09</v>
      </c>
      <c r="E25" s="121">
        <f t="shared" si="2"/>
        <v>18925.53</v>
      </c>
      <c r="F25" s="121">
        <f t="shared" si="8"/>
        <v>31890.62</v>
      </c>
      <c r="G25" s="121">
        <f t="shared" si="3"/>
        <v>98938.950000000012</v>
      </c>
      <c r="H25" s="120">
        <v>16</v>
      </c>
      <c r="I25" s="126">
        <f t="shared" si="4"/>
        <v>0.16057025831700947</v>
      </c>
      <c r="J25" s="120" t="str">
        <f t="shared" si="5"/>
        <v>Não</v>
      </c>
      <c r="K25" s="121">
        <f t="shared" si="6"/>
        <v>98938.950000000012</v>
      </c>
      <c r="L25" s="142">
        <v>16</v>
      </c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62"/>
      <c r="X25" s="62"/>
      <c r="Y25" s="62"/>
      <c r="Z25" s="62"/>
    </row>
    <row r="26" spans="1:26" ht="12.75" customHeight="1" x14ac:dyDescent="0.2">
      <c r="A26" s="109"/>
      <c r="B26" s="125">
        <f t="shared" si="7"/>
        <v>10883.28000000001</v>
      </c>
      <c r="C26" s="121">
        <f t="shared" si="0"/>
        <v>10883.28</v>
      </c>
      <c r="D26" s="121">
        <f t="shared" si="1"/>
        <v>10883.28</v>
      </c>
      <c r="E26" s="121">
        <f t="shared" si="2"/>
        <v>21007.35</v>
      </c>
      <c r="F26" s="121">
        <f t="shared" si="8"/>
        <v>31890.63</v>
      </c>
      <c r="G26" s="121">
        <f t="shared" si="3"/>
        <v>77931.600000000006</v>
      </c>
      <c r="H26" s="120">
        <v>17</v>
      </c>
      <c r="I26" s="126">
        <f t="shared" si="4"/>
        <v>0.21232638915209831</v>
      </c>
      <c r="J26" s="120" t="str">
        <f t="shared" si="5"/>
        <v>Não</v>
      </c>
      <c r="K26" s="121">
        <f t="shared" si="6"/>
        <v>77931.600000000006</v>
      </c>
      <c r="L26" s="142">
        <v>17</v>
      </c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62"/>
      <c r="X26" s="62"/>
      <c r="Y26" s="62"/>
      <c r="Z26" s="62"/>
    </row>
    <row r="27" spans="1:26" ht="12.75" customHeight="1" x14ac:dyDescent="0.2">
      <c r="A27" s="109"/>
      <c r="B27" s="125">
        <f t="shared" si="7"/>
        <v>8572.4700000000066</v>
      </c>
      <c r="C27" s="121">
        <f t="shared" si="0"/>
        <v>8572.4699999999993</v>
      </c>
      <c r="D27" s="121">
        <f t="shared" si="1"/>
        <v>8572.4699999999993</v>
      </c>
      <c r="E27" s="121">
        <f t="shared" si="2"/>
        <v>23318.15</v>
      </c>
      <c r="F27" s="121">
        <f t="shared" si="8"/>
        <v>31890.62</v>
      </c>
      <c r="G27" s="121">
        <f t="shared" si="3"/>
        <v>54613.450000000004</v>
      </c>
      <c r="H27" s="120">
        <v>18</v>
      </c>
      <c r="I27" s="126">
        <f t="shared" si="4"/>
        <v>0.29921302783466525</v>
      </c>
      <c r="J27" s="120" t="str">
        <f t="shared" si="5"/>
        <v>Não</v>
      </c>
      <c r="K27" s="121">
        <f t="shared" si="6"/>
        <v>54613.450000000004</v>
      </c>
      <c r="L27" s="142">
        <v>18</v>
      </c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62"/>
      <c r="X27" s="62"/>
      <c r="Y27" s="62"/>
      <c r="Z27" s="62"/>
    </row>
    <row r="28" spans="1:26" ht="12.75" customHeight="1" x14ac:dyDescent="0.2">
      <c r="A28" s="109"/>
      <c r="B28" s="125">
        <f t="shared" si="7"/>
        <v>6007.4700000000066</v>
      </c>
      <c r="C28" s="121">
        <f t="shared" si="0"/>
        <v>6007.47</v>
      </c>
      <c r="D28" s="121">
        <f t="shared" si="1"/>
        <v>6007.47</v>
      </c>
      <c r="E28" s="121">
        <f t="shared" si="2"/>
        <v>25883.16</v>
      </c>
      <c r="F28" s="121">
        <f t="shared" si="8"/>
        <v>31890.63</v>
      </c>
      <c r="G28" s="121">
        <f t="shared" si="3"/>
        <v>28730.290000000005</v>
      </c>
      <c r="H28" s="120">
        <v>19</v>
      </c>
      <c r="I28" s="126">
        <f t="shared" si="4"/>
        <v>0.47393380202129692</v>
      </c>
      <c r="J28" s="120" t="str">
        <f t="shared" si="5"/>
        <v>Não</v>
      </c>
      <c r="K28" s="121">
        <f t="shared" si="6"/>
        <v>28730.290000000005</v>
      </c>
      <c r="L28" s="142">
        <v>19</v>
      </c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62"/>
      <c r="X28" s="62"/>
      <c r="Y28" s="62"/>
      <c r="Z28" s="62"/>
    </row>
    <row r="29" spans="1:26" ht="12.75" customHeight="1" x14ac:dyDescent="0.2">
      <c r="A29" s="109"/>
      <c r="B29" s="125">
        <f t="shared" si="7"/>
        <v>3160.3300000000063</v>
      </c>
      <c r="C29" s="121">
        <f t="shared" si="0"/>
        <v>3160.33</v>
      </c>
      <c r="D29" s="121">
        <f t="shared" si="1"/>
        <v>3160.33</v>
      </c>
      <c r="E29" s="121">
        <f t="shared" si="2"/>
        <v>28730.29</v>
      </c>
      <c r="F29" s="121">
        <f t="shared" si="8"/>
        <v>31890.62</v>
      </c>
      <c r="G29" s="121">
        <f t="shared" si="3"/>
        <v>0</v>
      </c>
      <c r="H29" s="120">
        <v>20</v>
      </c>
      <c r="I29" s="126">
        <f t="shared" si="4"/>
        <v>0.99999999999999989</v>
      </c>
      <c r="J29" s="120" t="str">
        <f t="shared" si="5"/>
        <v>Não</v>
      </c>
      <c r="K29" s="121">
        <f t="shared" si="6"/>
        <v>0</v>
      </c>
      <c r="L29" s="142">
        <v>20</v>
      </c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62"/>
      <c r="X29" s="62"/>
      <c r="Y29" s="62"/>
      <c r="Z29" s="62"/>
    </row>
    <row r="30" spans="1:26" ht="12.75" customHeight="1" x14ac:dyDescent="0.2">
      <c r="A30" s="109"/>
      <c r="B30" s="119"/>
      <c r="C30" s="120"/>
      <c r="D30" s="120"/>
      <c r="E30" s="121"/>
      <c r="F30" s="120"/>
      <c r="G30" s="120"/>
      <c r="H30" s="120"/>
      <c r="I30" s="120"/>
      <c r="J30" s="120"/>
      <c r="K30" s="120"/>
      <c r="L30" s="127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62"/>
      <c r="X30" s="62"/>
      <c r="Y30" s="62"/>
      <c r="Z30" s="62"/>
    </row>
    <row r="31" spans="1:26" ht="12.75" customHeight="1" x14ac:dyDescent="0.2">
      <c r="A31" s="109"/>
      <c r="B31" s="119"/>
      <c r="C31" s="128">
        <f t="shared" ref="C31:F31" si="9">SUM(C10:C29)</f>
        <v>383421.84</v>
      </c>
      <c r="D31" s="128">
        <f t="shared" si="9"/>
        <v>383421.84</v>
      </c>
      <c r="E31" s="128">
        <f t="shared" si="9"/>
        <v>250000.00000000003</v>
      </c>
      <c r="F31" s="128">
        <f t="shared" si="9"/>
        <v>633421.86</v>
      </c>
      <c r="G31" s="121"/>
      <c r="H31" s="120"/>
      <c r="I31" s="120"/>
      <c r="J31" s="120"/>
      <c r="K31" s="120"/>
      <c r="L31" s="127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62"/>
      <c r="X31" s="62"/>
      <c r="Y31" s="62"/>
      <c r="Z31" s="62"/>
    </row>
    <row r="32" spans="1:26" ht="12.75" customHeight="1" x14ac:dyDescent="0.2">
      <c r="A32" s="109"/>
      <c r="B32" s="129"/>
      <c r="C32" s="130"/>
      <c r="D32" s="130"/>
      <c r="E32" s="130"/>
      <c r="F32" s="130"/>
      <c r="G32" s="130"/>
      <c r="H32" s="130"/>
      <c r="I32" s="130"/>
      <c r="J32" s="130"/>
      <c r="K32" s="130"/>
      <c r="L32" s="131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62"/>
      <c r="X32" s="62"/>
      <c r="Y32" s="62"/>
      <c r="Z32" s="62"/>
    </row>
    <row r="33" spans="1:26" ht="12.75" customHeight="1" x14ac:dyDescent="0.2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62"/>
      <c r="X33" s="62"/>
      <c r="Y33" s="62"/>
      <c r="Z33" s="62"/>
    </row>
    <row r="34" spans="1:26" ht="12.75" customHeight="1" x14ac:dyDescent="0.2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62"/>
      <c r="X34" s="62"/>
      <c r="Y34" s="62"/>
      <c r="Z34" s="62"/>
    </row>
    <row r="35" spans="1:26" ht="12.75" customHeight="1" x14ac:dyDescent="0.2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62"/>
      <c r="X35" s="62"/>
      <c r="Y35" s="62"/>
      <c r="Z35" s="62"/>
    </row>
    <row r="36" spans="1:26" ht="12.75" customHeight="1" x14ac:dyDescent="0.2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62"/>
      <c r="X36" s="62"/>
      <c r="Y36" s="62"/>
      <c r="Z36" s="62"/>
    </row>
    <row r="37" spans="1:26" ht="12.75" customHeight="1" x14ac:dyDescent="0.2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62"/>
      <c r="X37" s="62"/>
      <c r="Y37" s="62"/>
      <c r="Z37" s="62"/>
    </row>
    <row r="38" spans="1:26" ht="12.75" customHeight="1" x14ac:dyDescent="0.2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62"/>
      <c r="X38" s="62"/>
      <c r="Y38" s="62"/>
      <c r="Z38" s="62"/>
    </row>
    <row r="39" spans="1:26" ht="12.75" customHeight="1" x14ac:dyDescent="0.2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62"/>
      <c r="X39" s="62"/>
      <c r="Y39" s="62"/>
      <c r="Z39" s="62"/>
    </row>
    <row r="40" spans="1:26" ht="12.75" customHeight="1" x14ac:dyDescent="0.2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62"/>
      <c r="X40" s="62"/>
      <c r="Y40" s="62"/>
      <c r="Z40" s="62"/>
    </row>
    <row r="41" spans="1:26" ht="12.75" customHeight="1" x14ac:dyDescent="0.2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62"/>
      <c r="X41" s="62"/>
      <c r="Y41" s="62"/>
      <c r="Z41" s="62"/>
    </row>
    <row r="42" spans="1:26" ht="12.75" customHeight="1" x14ac:dyDescent="0.2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62"/>
      <c r="X42" s="62"/>
      <c r="Y42" s="62"/>
      <c r="Z42" s="62"/>
    </row>
    <row r="43" spans="1:26" ht="12.75" customHeight="1" x14ac:dyDescent="0.2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62"/>
      <c r="X43" s="62"/>
      <c r="Y43" s="62"/>
      <c r="Z43" s="62"/>
    </row>
    <row r="44" spans="1:26" ht="12.75" customHeight="1" x14ac:dyDescent="0.2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62"/>
      <c r="X44" s="62"/>
      <c r="Y44" s="62"/>
      <c r="Z44" s="62"/>
    </row>
    <row r="45" spans="1:26" ht="12.75" customHeight="1" x14ac:dyDescent="0.2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62"/>
      <c r="X45" s="62"/>
      <c r="Y45" s="62"/>
      <c r="Z45" s="62"/>
    </row>
    <row r="46" spans="1:26" ht="12.75" customHeight="1" x14ac:dyDescent="0.2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62"/>
      <c r="X46" s="62"/>
      <c r="Y46" s="62"/>
      <c r="Z46" s="62"/>
    </row>
    <row r="47" spans="1:26" ht="12.75" customHeight="1" x14ac:dyDescent="0.2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62"/>
      <c r="X47" s="62"/>
      <c r="Y47" s="62"/>
      <c r="Z47" s="62"/>
    </row>
    <row r="48" spans="1:26" ht="12.75" customHeight="1" x14ac:dyDescent="0.2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62"/>
      <c r="X48" s="62"/>
      <c r="Y48" s="62"/>
      <c r="Z48" s="62"/>
    </row>
    <row r="49" spans="1:26" ht="12.75" customHeight="1" x14ac:dyDescent="0.2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62"/>
      <c r="X49" s="62"/>
      <c r="Y49" s="62"/>
      <c r="Z49" s="62"/>
    </row>
    <row r="50" spans="1:26" ht="12.75" customHeight="1" x14ac:dyDescent="0.2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62"/>
      <c r="X50" s="62"/>
      <c r="Y50" s="62"/>
      <c r="Z50" s="62"/>
    </row>
    <row r="51" spans="1:26" ht="12.75" customHeight="1" x14ac:dyDescent="0.2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62"/>
      <c r="X51" s="62"/>
      <c r="Y51" s="62"/>
      <c r="Z51" s="62"/>
    </row>
    <row r="52" spans="1:26" ht="12.75" customHeight="1" x14ac:dyDescent="0.2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62"/>
      <c r="X52" s="62"/>
      <c r="Y52" s="62"/>
      <c r="Z52" s="62"/>
    </row>
    <row r="53" spans="1:26" ht="12.75" customHeight="1" x14ac:dyDescent="0.2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62"/>
      <c r="X53" s="62"/>
      <c r="Y53" s="62"/>
      <c r="Z53" s="62"/>
    </row>
    <row r="54" spans="1:26" ht="12.75" customHeight="1" x14ac:dyDescent="0.2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62"/>
      <c r="X54" s="62"/>
      <c r="Y54" s="62"/>
      <c r="Z54" s="62"/>
    </row>
    <row r="55" spans="1:26" ht="12.75" customHeight="1" x14ac:dyDescent="0.2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62"/>
      <c r="X55" s="62"/>
      <c r="Y55" s="62"/>
      <c r="Z55" s="62"/>
    </row>
    <row r="56" spans="1:26" ht="12.75" customHeight="1" x14ac:dyDescent="0.2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62"/>
      <c r="X56" s="62"/>
      <c r="Y56" s="62"/>
      <c r="Z56" s="62"/>
    </row>
    <row r="57" spans="1:26" ht="12.75" customHeight="1" x14ac:dyDescent="0.2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62"/>
      <c r="X57" s="62"/>
      <c r="Y57" s="62"/>
      <c r="Z57" s="62"/>
    </row>
    <row r="58" spans="1:26" ht="12.75" customHeight="1" x14ac:dyDescent="0.2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62"/>
      <c r="X58" s="62"/>
      <c r="Y58" s="62"/>
      <c r="Z58" s="62"/>
    </row>
    <row r="59" spans="1:26" ht="12.75" customHeight="1" x14ac:dyDescent="0.2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62"/>
      <c r="X59" s="62"/>
      <c r="Y59" s="62"/>
      <c r="Z59" s="62"/>
    </row>
    <row r="60" spans="1:26" ht="12.75" customHeight="1" x14ac:dyDescent="0.2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62"/>
      <c r="X60" s="62"/>
      <c r="Y60" s="62"/>
      <c r="Z60" s="62"/>
    </row>
    <row r="61" spans="1:26" ht="12.75" customHeight="1" x14ac:dyDescent="0.2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62"/>
      <c r="X61" s="62"/>
      <c r="Y61" s="62"/>
      <c r="Z61" s="62"/>
    </row>
    <row r="62" spans="1:26" ht="12.75" customHeight="1" x14ac:dyDescent="0.2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62"/>
      <c r="X62" s="62"/>
      <c r="Y62" s="62"/>
      <c r="Z62" s="62"/>
    </row>
    <row r="63" spans="1:26" ht="12.75" customHeight="1" x14ac:dyDescent="0.2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62"/>
      <c r="X63" s="62"/>
      <c r="Y63" s="62"/>
      <c r="Z63" s="62"/>
    </row>
    <row r="64" spans="1:26" ht="12.75" customHeight="1" x14ac:dyDescent="0.2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62"/>
      <c r="X64" s="62"/>
      <c r="Y64" s="62"/>
      <c r="Z64" s="62"/>
    </row>
    <row r="65" spans="1:26" ht="12.75" customHeight="1" x14ac:dyDescent="0.2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62"/>
      <c r="X65" s="62"/>
      <c r="Y65" s="62"/>
      <c r="Z65" s="62"/>
    </row>
    <row r="66" spans="1:26" ht="12.75" customHeight="1" x14ac:dyDescent="0.2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62"/>
      <c r="X66" s="62"/>
      <c r="Y66" s="62"/>
      <c r="Z66" s="62"/>
    </row>
    <row r="67" spans="1:26" ht="12.75" customHeight="1" x14ac:dyDescent="0.2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62"/>
      <c r="X67" s="62"/>
      <c r="Y67" s="62"/>
      <c r="Z67" s="62"/>
    </row>
    <row r="68" spans="1:26" ht="12.75" customHeight="1" x14ac:dyDescent="0.2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62"/>
      <c r="X68" s="62"/>
      <c r="Y68" s="62"/>
      <c r="Z68" s="62"/>
    </row>
    <row r="69" spans="1:26" ht="12.75" customHeight="1" x14ac:dyDescent="0.2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62"/>
      <c r="X69" s="62"/>
      <c r="Y69" s="62"/>
      <c r="Z69" s="62"/>
    </row>
    <row r="70" spans="1:26" ht="12.75" customHeight="1" x14ac:dyDescent="0.2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62"/>
      <c r="X70" s="62"/>
      <c r="Y70" s="62"/>
      <c r="Z70" s="62"/>
    </row>
    <row r="71" spans="1:26" ht="12.75" customHeight="1" x14ac:dyDescent="0.2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62"/>
      <c r="X71" s="62"/>
      <c r="Y71" s="62"/>
      <c r="Z71" s="62"/>
    </row>
    <row r="72" spans="1:26" ht="12.75" customHeight="1" x14ac:dyDescent="0.2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62"/>
      <c r="X72" s="62"/>
      <c r="Y72" s="62"/>
      <c r="Z72" s="62"/>
    </row>
    <row r="73" spans="1:26" ht="12.75" customHeight="1" x14ac:dyDescent="0.2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62"/>
      <c r="X73" s="62"/>
      <c r="Y73" s="62"/>
      <c r="Z73" s="62"/>
    </row>
    <row r="74" spans="1:26" ht="12.75" customHeight="1" x14ac:dyDescent="0.2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62"/>
      <c r="X74" s="62"/>
      <c r="Y74" s="62"/>
      <c r="Z74" s="62"/>
    </row>
    <row r="75" spans="1:26" ht="12.75" customHeight="1" x14ac:dyDescent="0.2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62"/>
      <c r="X75" s="62"/>
      <c r="Y75" s="62"/>
      <c r="Z75" s="62"/>
    </row>
    <row r="76" spans="1:26" ht="12.75" customHeight="1" x14ac:dyDescent="0.2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62"/>
      <c r="X76" s="62"/>
      <c r="Y76" s="62"/>
      <c r="Z76" s="62"/>
    </row>
    <row r="77" spans="1:26" ht="12.75" customHeight="1" x14ac:dyDescent="0.2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62"/>
      <c r="X77" s="62"/>
      <c r="Y77" s="62"/>
      <c r="Z77" s="62"/>
    </row>
    <row r="78" spans="1:26" ht="12.75" customHeight="1" x14ac:dyDescent="0.2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62"/>
      <c r="X78" s="62"/>
      <c r="Y78" s="62"/>
      <c r="Z78" s="62"/>
    </row>
    <row r="79" spans="1:26" ht="12.75" customHeight="1" x14ac:dyDescent="0.2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62"/>
      <c r="X79" s="62"/>
      <c r="Y79" s="62"/>
      <c r="Z79" s="62"/>
    </row>
    <row r="80" spans="1:26" ht="12.75" customHeight="1" x14ac:dyDescent="0.2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62"/>
      <c r="X80" s="62"/>
      <c r="Y80" s="62"/>
      <c r="Z80" s="62"/>
    </row>
    <row r="81" spans="1:26" ht="12.75" customHeight="1" x14ac:dyDescent="0.2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62"/>
      <c r="X81" s="62"/>
      <c r="Y81" s="62"/>
      <c r="Z81" s="62"/>
    </row>
    <row r="82" spans="1:26" ht="12.75" customHeight="1" x14ac:dyDescent="0.2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62"/>
      <c r="X82" s="62"/>
      <c r="Y82" s="62"/>
      <c r="Z82" s="62"/>
    </row>
    <row r="83" spans="1:26" ht="12.75" customHeight="1" x14ac:dyDescent="0.2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62"/>
      <c r="X83" s="62"/>
      <c r="Y83" s="62"/>
      <c r="Z83" s="62"/>
    </row>
    <row r="84" spans="1:26" ht="12.75" customHeight="1" x14ac:dyDescent="0.2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62"/>
      <c r="X84" s="62"/>
      <c r="Y84" s="62"/>
      <c r="Z84" s="62"/>
    </row>
    <row r="85" spans="1:26" ht="12.75" customHeight="1" x14ac:dyDescent="0.2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62"/>
      <c r="X85" s="62"/>
      <c r="Y85" s="62"/>
      <c r="Z85" s="62"/>
    </row>
    <row r="86" spans="1:26" ht="12.75" customHeight="1" x14ac:dyDescent="0.2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62"/>
      <c r="X86" s="62"/>
      <c r="Y86" s="62"/>
      <c r="Z86" s="62"/>
    </row>
    <row r="87" spans="1:26" ht="12.75" customHeight="1" x14ac:dyDescent="0.2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62"/>
      <c r="X87" s="62"/>
      <c r="Y87" s="62"/>
      <c r="Z87" s="62"/>
    </row>
    <row r="88" spans="1:26" ht="12.75" customHeight="1" x14ac:dyDescent="0.2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62"/>
      <c r="X88" s="62"/>
      <c r="Y88" s="62"/>
      <c r="Z88" s="62"/>
    </row>
    <row r="89" spans="1:26" ht="12.75" customHeight="1" x14ac:dyDescent="0.2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62"/>
      <c r="X89" s="62"/>
      <c r="Y89" s="62"/>
      <c r="Z89" s="62"/>
    </row>
    <row r="90" spans="1:26" ht="12.75" customHeight="1" x14ac:dyDescent="0.2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62"/>
      <c r="X90" s="62"/>
      <c r="Y90" s="62"/>
      <c r="Z90" s="62"/>
    </row>
    <row r="91" spans="1:26" ht="12.75" customHeight="1" x14ac:dyDescent="0.2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62"/>
      <c r="X91" s="62"/>
      <c r="Y91" s="62"/>
      <c r="Z91" s="62"/>
    </row>
    <row r="92" spans="1:26" ht="12.75" customHeight="1" x14ac:dyDescent="0.2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62"/>
      <c r="X92" s="62"/>
      <c r="Y92" s="62"/>
      <c r="Z92" s="62"/>
    </row>
    <row r="93" spans="1:26" ht="12.75" customHeight="1" x14ac:dyDescent="0.2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62"/>
      <c r="X93" s="62"/>
      <c r="Y93" s="62"/>
      <c r="Z93" s="62"/>
    </row>
    <row r="94" spans="1:26" ht="12.75" customHeight="1" x14ac:dyDescent="0.2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62"/>
      <c r="X94" s="62"/>
      <c r="Y94" s="62"/>
      <c r="Z94" s="62"/>
    </row>
    <row r="95" spans="1:26" ht="12.75" customHeight="1" x14ac:dyDescent="0.2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62"/>
      <c r="X95" s="62"/>
      <c r="Y95" s="62"/>
      <c r="Z95" s="62"/>
    </row>
    <row r="96" spans="1:26" ht="12.75" customHeight="1" x14ac:dyDescent="0.2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62"/>
      <c r="X96" s="62"/>
      <c r="Y96" s="62"/>
      <c r="Z96" s="62"/>
    </row>
    <row r="97" spans="1:26" ht="12.75" customHeight="1" x14ac:dyDescent="0.2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62"/>
      <c r="X97" s="62"/>
      <c r="Y97" s="62"/>
      <c r="Z97" s="62"/>
    </row>
    <row r="98" spans="1:26" ht="12.75" customHeight="1" x14ac:dyDescent="0.2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62"/>
      <c r="X98" s="62"/>
      <c r="Y98" s="62"/>
      <c r="Z98" s="62"/>
    </row>
    <row r="99" spans="1:26" ht="12.75" customHeight="1" x14ac:dyDescent="0.2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62"/>
      <c r="X99" s="62"/>
      <c r="Y99" s="62"/>
      <c r="Z99" s="62"/>
    </row>
    <row r="100" spans="1:26" ht="12.75" customHeight="1" x14ac:dyDescent="0.2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62"/>
      <c r="X100" s="62"/>
      <c r="Y100" s="62"/>
      <c r="Z100" s="62"/>
    </row>
    <row r="101" spans="1:26" ht="12.75" customHeight="1" x14ac:dyDescent="0.2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62"/>
      <c r="X101" s="62"/>
      <c r="Y101" s="62"/>
      <c r="Z101" s="62"/>
    </row>
    <row r="102" spans="1:26" ht="12.75" customHeight="1" x14ac:dyDescent="0.2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62"/>
      <c r="X102" s="62"/>
      <c r="Y102" s="62"/>
      <c r="Z102" s="62"/>
    </row>
    <row r="103" spans="1:26" ht="12.75" customHeight="1" x14ac:dyDescent="0.2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62"/>
      <c r="X103" s="62"/>
      <c r="Y103" s="62"/>
      <c r="Z103" s="62"/>
    </row>
    <row r="104" spans="1:26" ht="12.75" customHeight="1" x14ac:dyDescent="0.2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62"/>
      <c r="X104" s="62"/>
      <c r="Y104" s="62"/>
      <c r="Z104" s="62"/>
    </row>
    <row r="105" spans="1:26" ht="12.75" customHeight="1" x14ac:dyDescent="0.2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62"/>
      <c r="X105" s="62"/>
      <c r="Y105" s="62"/>
      <c r="Z105" s="62"/>
    </row>
    <row r="106" spans="1:26" ht="12.75" customHeight="1" x14ac:dyDescent="0.2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62"/>
      <c r="X106" s="62"/>
      <c r="Y106" s="62"/>
      <c r="Z106" s="62"/>
    </row>
    <row r="107" spans="1:26" ht="12.75" customHeight="1" x14ac:dyDescent="0.2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62"/>
      <c r="X107" s="62"/>
      <c r="Y107" s="62"/>
      <c r="Z107" s="62"/>
    </row>
    <row r="108" spans="1:26" ht="12.75" customHeight="1" x14ac:dyDescent="0.2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62"/>
      <c r="X108" s="62"/>
      <c r="Y108" s="62"/>
      <c r="Z108" s="62"/>
    </row>
    <row r="109" spans="1:26" ht="12.75" customHeight="1" x14ac:dyDescent="0.2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62"/>
      <c r="X109" s="62"/>
      <c r="Y109" s="62"/>
      <c r="Z109" s="62"/>
    </row>
    <row r="110" spans="1:26" ht="12.75" customHeight="1" x14ac:dyDescent="0.2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12.75" customHeight="1" x14ac:dyDescent="0.2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12.75" customHeight="1" x14ac:dyDescent="0.2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12.75" customHeight="1" x14ac:dyDescent="0.2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12.75" customHeight="1" x14ac:dyDescent="0.2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12.75" customHeight="1" x14ac:dyDescent="0.2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12.75" customHeight="1" x14ac:dyDescent="0.2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12.75" customHeight="1" x14ac:dyDescent="0.2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12.75" customHeight="1" x14ac:dyDescent="0.2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12.75" customHeight="1" x14ac:dyDescent="0.2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12.75" customHeight="1" x14ac:dyDescent="0.2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12.75" customHeight="1" x14ac:dyDescent="0.2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12.75" customHeight="1" x14ac:dyDescent="0.2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12.75" customHeight="1" x14ac:dyDescent="0.2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12.75" customHeight="1" x14ac:dyDescent="0.2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12.75" customHeight="1" x14ac:dyDescent="0.2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12.75" customHeight="1" x14ac:dyDescent="0.2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12.75" customHeight="1" x14ac:dyDescent="0.2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12.75" customHeight="1" x14ac:dyDescent="0.2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12.75" customHeight="1" x14ac:dyDescent="0.2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12.75" customHeight="1" x14ac:dyDescent="0.2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12.75" customHeight="1" x14ac:dyDescent="0.2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12.75" customHeight="1" x14ac:dyDescent="0.2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12.75" customHeight="1" x14ac:dyDescent="0.2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12.75" customHeight="1" x14ac:dyDescent="0.2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12.75" customHeight="1" x14ac:dyDescent="0.2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12.75" customHeight="1" x14ac:dyDescent="0.2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12.75" customHeight="1" x14ac:dyDescent="0.2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12.75" customHeight="1" x14ac:dyDescent="0.2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12.75" customHeight="1" x14ac:dyDescent="0.2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12.75" customHeight="1" x14ac:dyDescent="0.2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12.75" customHeight="1" x14ac:dyDescent="0.2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12.75" customHeight="1" x14ac:dyDescent="0.2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12.75" customHeight="1" x14ac:dyDescent="0.2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12.75" customHeight="1" x14ac:dyDescent="0.2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12.75" customHeight="1" x14ac:dyDescent="0.2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12.75" customHeight="1" x14ac:dyDescent="0.2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12.75" customHeight="1" x14ac:dyDescent="0.2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12.75" customHeight="1" x14ac:dyDescent="0.2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12.75" customHeight="1" x14ac:dyDescent="0.2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12.75" customHeight="1" x14ac:dyDescent="0.2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12.75" customHeight="1" x14ac:dyDescent="0.2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12.75" customHeight="1" x14ac:dyDescent="0.2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12.75" customHeight="1" x14ac:dyDescent="0.2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12.75" customHeight="1" x14ac:dyDescent="0.2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12.75" customHeight="1" x14ac:dyDescent="0.2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12.75" customHeight="1" x14ac:dyDescent="0.2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12.75" customHeight="1" x14ac:dyDescent="0.2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12.75" customHeight="1" x14ac:dyDescent="0.2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12.75" customHeight="1" x14ac:dyDescent="0.2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12.75" customHeight="1" x14ac:dyDescent="0.2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12.7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12.7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12.75" customHeight="1" x14ac:dyDescent="0.2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12.75" customHeight="1" x14ac:dyDescent="0.2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12.75" customHeight="1" x14ac:dyDescent="0.2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12.75" customHeight="1" x14ac:dyDescent="0.2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12.75" customHeight="1" x14ac:dyDescent="0.2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12.75" customHeight="1" x14ac:dyDescent="0.2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12.75" customHeight="1" x14ac:dyDescent="0.2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12.75" customHeight="1" x14ac:dyDescent="0.2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12.75" customHeight="1" x14ac:dyDescent="0.2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12.75" customHeight="1" x14ac:dyDescent="0.2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12.75" customHeight="1" x14ac:dyDescent="0.2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12.75" customHeight="1" x14ac:dyDescent="0.2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12.75" customHeight="1" x14ac:dyDescent="0.2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12.75" customHeight="1" x14ac:dyDescent="0.2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12.75" customHeight="1" x14ac:dyDescent="0.2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12.75" customHeight="1" x14ac:dyDescent="0.2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12.75" customHeight="1" x14ac:dyDescent="0.2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12.75" customHeight="1" x14ac:dyDescent="0.2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12.75" customHeight="1" x14ac:dyDescent="0.2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12.75" customHeight="1" x14ac:dyDescent="0.2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12.75" customHeight="1" x14ac:dyDescent="0.2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12.75" customHeight="1" x14ac:dyDescent="0.2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12.75" customHeight="1" x14ac:dyDescent="0.2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12.7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12.75" customHeight="1" x14ac:dyDescent="0.2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12.75" customHeight="1" x14ac:dyDescent="0.2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12.75" customHeight="1" x14ac:dyDescent="0.2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12.75" customHeight="1" x14ac:dyDescent="0.2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12.75" customHeight="1" x14ac:dyDescent="0.2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12.75" customHeight="1" x14ac:dyDescent="0.2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12.75" customHeight="1" x14ac:dyDescent="0.2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12.75" customHeight="1" x14ac:dyDescent="0.2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12.75" customHeight="1" x14ac:dyDescent="0.2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12.75" customHeight="1" x14ac:dyDescent="0.2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12.75" customHeight="1" x14ac:dyDescent="0.2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12.75" customHeight="1" x14ac:dyDescent="0.2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12.75" customHeight="1" x14ac:dyDescent="0.2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12.75" customHeight="1" x14ac:dyDescent="0.2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12.75" customHeight="1" x14ac:dyDescent="0.2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12.75" customHeight="1" x14ac:dyDescent="0.2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12.75" customHeight="1" x14ac:dyDescent="0.2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12.75" customHeight="1" x14ac:dyDescent="0.2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12.75" customHeight="1" x14ac:dyDescent="0.2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12.75" customHeight="1" x14ac:dyDescent="0.2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12.75" customHeight="1" x14ac:dyDescent="0.2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12.75" customHeight="1" x14ac:dyDescent="0.2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12.75" customHeight="1" x14ac:dyDescent="0.2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12.75" customHeight="1" x14ac:dyDescent="0.2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12.75" customHeight="1" x14ac:dyDescent="0.2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12.75" customHeight="1" x14ac:dyDescent="0.2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12.75" customHeight="1" x14ac:dyDescent="0.2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12.75" customHeight="1" x14ac:dyDescent="0.2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12.75" customHeight="1" x14ac:dyDescent="0.2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12.75" customHeight="1" x14ac:dyDescent="0.2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12.75" customHeight="1" x14ac:dyDescent="0.2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12.7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12.75" customHeight="1" x14ac:dyDescent="0.2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12.75" customHeight="1" x14ac:dyDescent="0.2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12.75" customHeight="1" x14ac:dyDescent="0.2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12.75" customHeight="1" x14ac:dyDescent="0.2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12.75" customHeight="1" x14ac:dyDescent="0.2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12.75" customHeight="1" x14ac:dyDescent="0.2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12.75" customHeight="1" x14ac:dyDescent="0.2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12.75" customHeight="1" x14ac:dyDescent="0.2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12.75" customHeight="1" x14ac:dyDescent="0.2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12.75" customHeight="1" x14ac:dyDescent="0.2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12.75" customHeight="1" x14ac:dyDescent="0.2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12.75" customHeight="1" x14ac:dyDescent="0.2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12.75" customHeight="1" x14ac:dyDescent="0.2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12.75" customHeight="1" x14ac:dyDescent="0.2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12.75" customHeight="1" x14ac:dyDescent="0.2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12.7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12.75" customHeight="1" x14ac:dyDescent="0.2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12.75" customHeight="1" x14ac:dyDescent="0.2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12.75" customHeight="1" x14ac:dyDescent="0.2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12.75" customHeight="1" x14ac:dyDescent="0.2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12.75" customHeight="1" x14ac:dyDescent="0.2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12.75" customHeight="1" x14ac:dyDescent="0.2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12.75" customHeight="1" x14ac:dyDescent="0.2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12.75" customHeight="1" x14ac:dyDescent="0.2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12.75" customHeight="1" x14ac:dyDescent="0.2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12.75" customHeight="1" x14ac:dyDescent="0.2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12.75" customHeight="1" x14ac:dyDescent="0.2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12.75" customHeight="1" x14ac:dyDescent="0.2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12.75" customHeight="1" x14ac:dyDescent="0.2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12.75" customHeight="1" x14ac:dyDescent="0.2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12.75" customHeight="1" x14ac:dyDescent="0.2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12.7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12.75" customHeight="1" x14ac:dyDescent="0.2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12.75" customHeight="1" x14ac:dyDescent="0.2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12.75" customHeight="1" x14ac:dyDescent="0.2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12.75" customHeight="1" x14ac:dyDescent="0.2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12.75" customHeight="1" x14ac:dyDescent="0.2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12.75" customHeight="1" x14ac:dyDescent="0.2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12.75" customHeight="1" x14ac:dyDescent="0.2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12.75" customHeight="1" x14ac:dyDescent="0.2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12.75" customHeight="1" x14ac:dyDescent="0.2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12.75" customHeight="1" x14ac:dyDescent="0.2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12.75" customHeight="1" x14ac:dyDescent="0.2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12.75" customHeight="1" x14ac:dyDescent="0.2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12.75" customHeight="1" x14ac:dyDescent="0.2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12.75" customHeight="1" x14ac:dyDescent="0.2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12.75" customHeight="1" x14ac:dyDescent="0.2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12.75" customHeight="1" x14ac:dyDescent="0.2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12.75" customHeight="1" x14ac:dyDescent="0.2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12.75" customHeight="1" x14ac:dyDescent="0.2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12.75" customHeight="1" x14ac:dyDescent="0.2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12.75" customHeight="1" x14ac:dyDescent="0.2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12.75" customHeight="1" x14ac:dyDescent="0.2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12.75" customHeight="1" x14ac:dyDescent="0.2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12.75" customHeight="1" x14ac:dyDescent="0.2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12.75" customHeight="1" x14ac:dyDescent="0.2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12.75" customHeight="1" x14ac:dyDescent="0.2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12.75" customHeight="1" x14ac:dyDescent="0.2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12.75" customHeight="1" x14ac:dyDescent="0.2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12.75" customHeight="1" x14ac:dyDescent="0.2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12.75" customHeight="1" x14ac:dyDescent="0.2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12.75" customHeight="1" x14ac:dyDescent="0.2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12.7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12.7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12.7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12.7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12.75" customHeight="1" x14ac:dyDescent="0.2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12.75" customHeight="1" x14ac:dyDescent="0.2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12.75" customHeight="1" x14ac:dyDescent="0.2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12.75" customHeight="1" x14ac:dyDescent="0.2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12.75" customHeight="1" x14ac:dyDescent="0.2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12.75" customHeight="1" x14ac:dyDescent="0.2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12.7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12.7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12.75" customHeight="1" x14ac:dyDescent="0.2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12.75" customHeight="1" x14ac:dyDescent="0.2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12.75" customHeight="1" x14ac:dyDescent="0.2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2.75" customHeight="1" x14ac:dyDescent="0.2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12.75" customHeight="1" x14ac:dyDescent="0.2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12.75" customHeight="1" x14ac:dyDescent="0.2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12.75" customHeight="1" x14ac:dyDescent="0.2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12.75" customHeight="1" x14ac:dyDescent="0.2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12.75" customHeight="1" x14ac:dyDescent="0.2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12.75" customHeight="1" x14ac:dyDescent="0.2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12.75" customHeight="1" x14ac:dyDescent="0.2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12.75" customHeight="1" x14ac:dyDescent="0.2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12.75" customHeight="1" x14ac:dyDescent="0.2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12.75" customHeight="1" x14ac:dyDescent="0.2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12.75" customHeight="1" x14ac:dyDescent="0.2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12.75" customHeight="1" x14ac:dyDescent="0.2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12.75" customHeight="1" x14ac:dyDescent="0.2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12.75" customHeight="1" x14ac:dyDescent="0.2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12.75" customHeight="1" x14ac:dyDescent="0.2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12.75" customHeight="1" x14ac:dyDescent="0.2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12.75" customHeight="1" x14ac:dyDescent="0.2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12.75" customHeight="1" x14ac:dyDescent="0.2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12.75" customHeight="1" x14ac:dyDescent="0.2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12.75" customHeight="1" x14ac:dyDescent="0.2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2.75" customHeight="1" x14ac:dyDescent="0.2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12.75" customHeight="1" x14ac:dyDescent="0.2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12.75" customHeight="1" x14ac:dyDescent="0.2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12.75" customHeight="1" x14ac:dyDescent="0.2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12.75" customHeight="1" x14ac:dyDescent="0.2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12.75" customHeight="1" x14ac:dyDescent="0.2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12.75" customHeight="1" x14ac:dyDescent="0.2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12.75" customHeight="1" x14ac:dyDescent="0.2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12.75" customHeight="1" x14ac:dyDescent="0.2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12.75" customHeight="1" x14ac:dyDescent="0.2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12.75" customHeight="1" x14ac:dyDescent="0.2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12.75" customHeight="1" x14ac:dyDescent="0.2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12.75" customHeight="1" x14ac:dyDescent="0.2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12.75" customHeight="1" x14ac:dyDescent="0.2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12.75" customHeight="1" x14ac:dyDescent="0.2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12.75" customHeight="1" x14ac:dyDescent="0.2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12.75" customHeight="1" x14ac:dyDescent="0.2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12.75" customHeight="1" x14ac:dyDescent="0.2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12.75" customHeight="1" x14ac:dyDescent="0.2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12.75" customHeight="1" x14ac:dyDescent="0.2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12.75" customHeight="1" x14ac:dyDescent="0.2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2.75" customHeight="1" x14ac:dyDescent="0.2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12.75" customHeight="1" x14ac:dyDescent="0.2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12.75" customHeight="1" x14ac:dyDescent="0.2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12.75" customHeight="1" x14ac:dyDescent="0.2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12.75" customHeight="1" x14ac:dyDescent="0.2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12.75" customHeight="1" x14ac:dyDescent="0.2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12.75" customHeight="1" x14ac:dyDescent="0.2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12.75" customHeight="1" x14ac:dyDescent="0.2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12.75" customHeight="1" x14ac:dyDescent="0.2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12.75" customHeight="1" x14ac:dyDescent="0.2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12.75" customHeight="1" x14ac:dyDescent="0.2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12.75" customHeight="1" x14ac:dyDescent="0.2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12.75" customHeight="1" x14ac:dyDescent="0.2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12.75" customHeight="1" x14ac:dyDescent="0.2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12.75" customHeight="1" x14ac:dyDescent="0.2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12.75" customHeight="1" x14ac:dyDescent="0.2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12.75" customHeight="1" x14ac:dyDescent="0.2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12.75" customHeight="1" x14ac:dyDescent="0.2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12.75" customHeight="1" x14ac:dyDescent="0.2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12.75" customHeight="1" x14ac:dyDescent="0.2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12.75" customHeight="1" x14ac:dyDescent="0.2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2.75" customHeight="1" x14ac:dyDescent="0.2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12.75" customHeight="1" x14ac:dyDescent="0.2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12.75" customHeight="1" x14ac:dyDescent="0.2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12.75" customHeight="1" x14ac:dyDescent="0.2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12.75" customHeight="1" x14ac:dyDescent="0.2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12.75" customHeight="1" x14ac:dyDescent="0.2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12.75" customHeight="1" x14ac:dyDescent="0.2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12.75" customHeight="1" x14ac:dyDescent="0.2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12.75" customHeight="1" x14ac:dyDescent="0.2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12.75" customHeight="1" x14ac:dyDescent="0.2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12.75" customHeight="1" x14ac:dyDescent="0.2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12.75" customHeight="1" x14ac:dyDescent="0.2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12.75" customHeight="1" x14ac:dyDescent="0.2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12.75" customHeight="1" x14ac:dyDescent="0.2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12.75" customHeight="1" x14ac:dyDescent="0.2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12.75" customHeight="1" x14ac:dyDescent="0.2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12.75" customHeight="1" x14ac:dyDescent="0.2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12.75" customHeight="1" x14ac:dyDescent="0.2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12.75" customHeight="1" x14ac:dyDescent="0.2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12.75" customHeight="1" x14ac:dyDescent="0.2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12.75" customHeight="1" x14ac:dyDescent="0.2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2.75" customHeight="1" x14ac:dyDescent="0.2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12.75" customHeight="1" x14ac:dyDescent="0.2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12.75" customHeight="1" x14ac:dyDescent="0.2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12.75" customHeight="1" x14ac:dyDescent="0.2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12.75" customHeight="1" x14ac:dyDescent="0.2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12.75" customHeight="1" x14ac:dyDescent="0.2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12.75" customHeight="1" x14ac:dyDescent="0.2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12.75" customHeight="1" x14ac:dyDescent="0.2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12.75" customHeight="1" x14ac:dyDescent="0.2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12.75" customHeight="1" x14ac:dyDescent="0.2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12.75" customHeight="1" x14ac:dyDescent="0.2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12.75" customHeight="1" x14ac:dyDescent="0.2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12.75" customHeight="1" x14ac:dyDescent="0.2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12.75" customHeight="1" x14ac:dyDescent="0.2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12.75" customHeight="1" x14ac:dyDescent="0.2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12.75" customHeight="1" x14ac:dyDescent="0.2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12.75" customHeight="1" x14ac:dyDescent="0.2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12.75" customHeight="1" x14ac:dyDescent="0.2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12.75" customHeight="1" x14ac:dyDescent="0.2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12.75" customHeight="1" x14ac:dyDescent="0.2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12.75" customHeight="1" x14ac:dyDescent="0.2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2.75" customHeight="1" x14ac:dyDescent="0.2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12.75" customHeight="1" x14ac:dyDescent="0.2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12.75" customHeight="1" x14ac:dyDescent="0.2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12.75" customHeight="1" x14ac:dyDescent="0.2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12.75" customHeight="1" x14ac:dyDescent="0.2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12.75" customHeight="1" x14ac:dyDescent="0.2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12.75" customHeight="1" x14ac:dyDescent="0.2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12.75" customHeight="1" x14ac:dyDescent="0.2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12.75" customHeight="1" x14ac:dyDescent="0.2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12.75" customHeight="1" x14ac:dyDescent="0.2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12.75" customHeight="1" x14ac:dyDescent="0.2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12.75" customHeight="1" x14ac:dyDescent="0.2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12.75" customHeight="1" x14ac:dyDescent="0.2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12.75" customHeight="1" x14ac:dyDescent="0.2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12.75" customHeight="1" x14ac:dyDescent="0.2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12.75" customHeight="1" x14ac:dyDescent="0.2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12.75" customHeight="1" x14ac:dyDescent="0.2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12.75" customHeight="1" x14ac:dyDescent="0.2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12.75" customHeight="1" x14ac:dyDescent="0.2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12.75" customHeight="1" x14ac:dyDescent="0.2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12.75" customHeight="1" x14ac:dyDescent="0.2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2.75" customHeight="1" x14ac:dyDescent="0.2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12.75" customHeight="1" x14ac:dyDescent="0.2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12.75" customHeight="1" x14ac:dyDescent="0.2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12.75" customHeight="1" x14ac:dyDescent="0.2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12.75" customHeight="1" x14ac:dyDescent="0.2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12.75" customHeight="1" x14ac:dyDescent="0.2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12.75" customHeight="1" x14ac:dyDescent="0.2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12.75" customHeight="1" x14ac:dyDescent="0.2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12.75" customHeight="1" x14ac:dyDescent="0.2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12.75" customHeight="1" x14ac:dyDescent="0.2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12.75" customHeight="1" x14ac:dyDescent="0.2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12.75" customHeight="1" x14ac:dyDescent="0.2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12.75" customHeight="1" x14ac:dyDescent="0.2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12.75" customHeight="1" x14ac:dyDescent="0.2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12.75" customHeight="1" x14ac:dyDescent="0.2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12.75" customHeight="1" x14ac:dyDescent="0.2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12.75" customHeight="1" x14ac:dyDescent="0.2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12.75" customHeight="1" x14ac:dyDescent="0.2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12.75" customHeight="1" x14ac:dyDescent="0.2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12.75" customHeight="1" x14ac:dyDescent="0.2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12.75" customHeight="1" x14ac:dyDescent="0.2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2.75" customHeight="1" x14ac:dyDescent="0.2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12.75" customHeight="1" x14ac:dyDescent="0.2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12.75" customHeight="1" x14ac:dyDescent="0.2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12.75" customHeight="1" x14ac:dyDescent="0.2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12.75" customHeight="1" x14ac:dyDescent="0.2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12.75" customHeight="1" x14ac:dyDescent="0.2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12.75" customHeight="1" x14ac:dyDescent="0.2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12.75" customHeight="1" x14ac:dyDescent="0.2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12.75" customHeight="1" x14ac:dyDescent="0.2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12.75" customHeight="1" x14ac:dyDescent="0.2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12.75" customHeight="1" x14ac:dyDescent="0.2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12.75" customHeight="1" x14ac:dyDescent="0.2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12.75" customHeight="1" x14ac:dyDescent="0.2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12.75" customHeight="1" x14ac:dyDescent="0.2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12.75" customHeight="1" x14ac:dyDescent="0.2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12.75" customHeight="1" x14ac:dyDescent="0.2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12.75" customHeight="1" x14ac:dyDescent="0.2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12.75" customHeight="1" x14ac:dyDescent="0.2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12.75" customHeight="1" x14ac:dyDescent="0.2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12.75" customHeight="1" x14ac:dyDescent="0.2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12.75" customHeight="1" x14ac:dyDescent="0.2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2.75" customHeight="1" x14ac:dyDescent="0.2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12.75" customHeight="1" x14ac:dyDescent="0.2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12.75" customHeight="1" x14ac:dyDescent="0.2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12.75" customHeight="1" x14ac:dyDescent="0.2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12.75" customHeight="1" x14ac:dyDescent="0.2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12.75" customHeight="1" x14ac:dyDescent="0.2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12.75" customHeight="1" x14ac:dyDescent="0.2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12.75" customHeight="1" x14ac:dyDescent="0.2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12.75" customHeight="1" x14ac:dyDescent="0.2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12.75" customHeight="1" x14ac:dyDescent="0.2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12.75" customHeight="1" x14ac:dyDescent="0.2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12.75" customHeight="1" x14ac:dyDescent="0.2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12.75" customHeight="1" x14ac:dyDescent="0.2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12.75" customHeight="1" x14ac:dyDescent="0.2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12.75" customHeight="1" x14ac:dyDescent="0.2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12.75" customHeight="1" x14ac:dyDescent="0.2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12.75" customHeight="1" x14ac:dyDescent="0.2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12.75" customHeight="1" x14ac:dyDescent="0.2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12.75" customHeight="1" x14ac:dyDescent="0.2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12.75" customHeight="1" x14ac:dyDescent="0.2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12.75" customHeight="1" x14ac:dyDescent="0.2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2.75" customHeight="1" x14ac:dyDescent="0.2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12.75" customHeight="1" x14ac:dyDescent="0.2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12.75" customHeight="1" x14ac:dyDescent="0.2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12.75" customHeight="1" x14ac:dyDescent="0.2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12.75" customHeight="1" x14ac:dyDescent="0.2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12.75" customHeight="1" x14ac:dyDescent="0.2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12.75" customHeight="1" x14ac:dyDescent="0.2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12.75" customHeight="1" x14ac:dyDescent="0.2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12.75" customHeight="1" x14ac:dyDescent="0.2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12.75" customHeight="1" x14ac:dyDescent="0.2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12.75" customHeight="1" x14ac:dyDescent="0.2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12.75" customHeight="1" x14ac:dyDescent="0.2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12.75" customHeight="1" x14ac:dyDescent="0.2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12.75" customHeight="1" x14ac:dyDescent="0.2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12.75" customHeight="1" x14ac:dyDescent="0.2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12.75" customHeight="1" x14ac:dyDescent="0.2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12.75" customHeight="1" x14ac:dyDescent="0.2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12.75" customHeight="1" x14ac:dyDescent="0.2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12.75" customHeight="1" x14ac:dyDescent="0.2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12.75" customHeight="1" x14ac:dyDescent="0.2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12.75" customHeight="1" x14ac:dyDescent="0.2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2.75" customHeight="1" x14ac:dyDescent="0.2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12.75" customHeight="1" x14ac:dyDescent="0.2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12.75" customHeight="1" x14ac:dyDescent="0.2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12.75" customHeight="1" x14ac:dyDescent="0.2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12.75" customHeight="1" x14ac:dyDescent="0.2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12.75" customHeight="1" x14ac:dyDescent="0.2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12.75" customHeight="1" x14ac:dyDescent="0.2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12.75" customHeight="1" x14ac:dyDescent="0.2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12.75" customHeight="1" x14ac:dyDescent="0.2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12.75" customHeight="1" x14ac:dyDescent="0.2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12.75" customHeight="1" x14ac:dyDescent="0.2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12.75" customHeight="1" x14ac:dyDescent="0.2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12.75" customHeight="1" x14ac:dyDescent="0.2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12.75" customHeight="1" x14ac:dyDescent="0.2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12.75" customHeight="1" x14ac:dyDescent="0.2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12.75" customHeight="1" x14ac:dyDescent="0.2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12.75" customHeight="1" x14ac:dyDescent="0.2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12.75" customHeight="1" x14ac:dyDescent="0.2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12.75" customHeight="1" x14ac:dyDescent="0.2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12.75" customHeight="1" x14ac:dyDescent="0.2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12.75" customHeight="1" x14ac:dyDescent="0.2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2.75" customHeight="1" x14ac:dyDescent="0.2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12.75" customHeight="1" x14ac:dyDescent="0.2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12.75" customHeight="1" x14ac:dyDescent="0.2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12.75" customHeight="1" x14ac:dyDescent="0.2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12.75" customHeight="1" x14ac:dyDescent="0.2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12.75" customHeight="1" x14ac:dyDescent="0.2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12.75" customHeight="1" x14ac:dyDescent="0.2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12.75" customHeight="1" x14ac:dyDescent="0.2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12.75" customHeight="1" x14ac:dyDescent="0.2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12.75" customHeight="1" x14ac:dyDescent="0.2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12.75" customHeight="1" x14ac:dyDescent="0.2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12.75" customHeight="1" x14ac:dyDescent="0.2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12.75" customHeight="1" x14ac:dyDescent="0.2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12.75" customHeight="1" x14ac:dyDescent="0.2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12.75" customHeight="1" x14ac:dyDescent="0.2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12.75" customHeight="1" x14ac:dyDescent="0.2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12.75" customHeight="1" x14ac:dyDescent="0.2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12.75" customHeight="1" x14ac:dyDescent="0.2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12.75" customHeight="1" x14ac:dyDescent="0.2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12.75" customHeight="1" x14ac:dyDescent="0.2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12.75" customHeight="1" x14ac:dyDescent="0.2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2.75" customHeight="1" x14ac:dyDescent="0.2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12.75" customHeight="1" x14ac:dyDescent="0.2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12.75" customHeight="1" x14ac:dyDescent="0.2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12.75" customHeight="1" x14ac:dyDescent="0.2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12.75" customHeight="1" x14ac:dyDescent="0.2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12.75" customHeight="1" x14ac:dyDescent="0.2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12.75" customHeight="1" x14ac:dyDescent="0.2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12.75" customHeight="1" x14ac:dyDescent="0.2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12.75" customHeight="1" x14ac:dyDescent="0.2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12.75" customHeight="1" x14ac:dyDescent="0.2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12.75" customHeight="1" x14ac:dyDescent="0.2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12.75" customHeight="1" x14ac:dyDescent="0.2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12.75" customHeight="1" x14ac:dyDescent="0.2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12.75" customHeight="1" x14ac:dyDescent="0.2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12.75" customHeight="1" x14ac:dyDescent="0.2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12.75" customHeight="1" x14ac:dyDescent="0.2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12.75" customHeight="1" x14ac:dyDescent="0.2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12.75" customHeight="1" x14ac:dyDescent="0.2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12.75" customHeight="1" x14ac:dyDescent="0.2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12.75" customHeight="1" x14ac:dyDescent="0.2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12.75" customHeight="1" x14ac:dyDescent="0.2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2.75" customHeight="1" x14ac:dyDescent="0.2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12.75" customHeight="1" x14ac:dyDescent="0.2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12.75" customHeight="1" x14ac:dyDescent="0.2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12.75" customHeight="1" x14ac:dyDescent="0.2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12.75" customHeight="1" x14ac:dyDescent="0.2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12.75" customHeight="1" x14ac:dyDescent="0.2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12.75" customHeight="1" x14ac:dyDescent="0.2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12.75" customHeight="1" x14ac:dyDescent="0.2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12.75" customHeight="1" x14ac:dyDescent="0.2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12.75" customHeight="1" x14ac:dyDescent="0.2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12.75" customHeight="1" x14ac:dyDescent="0.2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12.75" customHeight="1" x14ac:dyDescent="0.2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12.75" customHeight="1" x14ac:dyDescent="0.2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12.75" customHeight="1" x14ac:dyDescent="0.2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12.75" customHeight="1" x14ac:dyDescent="0.2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12.75" customHeight="1" x14ac:dyDescent="0.2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12.75" customHeight="1" x14ac:dyDescent="0.2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12.75" customHeight="1" x14ac:dyDescent="0.2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12.75" customHeight="1" x14ac:dyDescent="0.2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12.75" customHeight="1" x14ac:dyDescent="0.2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12.75" customHeight="1" x14ac:dyDescent="0.2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2.75" customHeight="1" x14ac:dyDescent="0.2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12.75" customHeight="1" x14ac:dyDescent="0.2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12.75" customHeight="1" x14ac:dyDescent="0.2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12.75" customHeight="1" x14ac:dyDescent="0.2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12.75" customHeight="1" x14ac:dyDescent="0.2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12.75" customHeight="1" x14ac:dyDescent="0.2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12.75" customHeight="1" x14ac:dyDescent="0.2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12.75" customHeight="1" x14ac:dyDescent="0.2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12.75" customHeight="1" x14ac:dyDescent="0.2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12.75" customHeight="1" x14ac:dyDescent="0.2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12.75" customHeight="1" x14ac:dyDescent="0.2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12.75" customHeight="1" x14ac:dyDescent="0.2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12.75" customHeight="1" x14ac:dyDescent="0.2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12.75" customHeight="1" x14ac:dyDescent="0.2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12.75" customHeight="1" x14ac:dyDescent="0.2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12.75" customHeight="1" x14ac:dyDescent="0.2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12.75" customHeight="1" x14ac:dyDescent="0.2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12.75" customHeight="1" x14ac:dyDescent="0.2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12.75" customHeight="1" x14ac:dyDescent="0.2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12.75" customHeight="1" x14ac:dyDescent="0.2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12.75" customHeight="1" x14ac:dyDescent="0.2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2.75" customHeight="1" x14ac:dyDescent="0.2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12.75" customHeight="1" x14ac:dyDescent="0.2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12.75" customHeight="1" x14ac:dyDescent="0.2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12.75" customHeight="1" x14ac:dyDescent="0.2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12.75" customHeight="1" x14ac:dyDescent="0.2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12.75" customHeight="1" x14ac:dyDescent="0.2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12.75" customHeight="1" x14ac:dyDescent="0.2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12.75" customHeight="1" x14ac:dyDescent="0.2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12.75" customHeight="1" x14ac:dyDescent="0.2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12.75" customHeight="1" x14ac:dyDescent="0.2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12.75" customHeight="1" x14ac:dyDescent="0.2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12.75" customHeight="1" x14ac:dyDescent="0.2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12.75" customHeight="1" x14ac:dyDescent="0.2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12.75" customHeight="1" x14ac:dyDescent="0.2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12.75" customHeight="1" x14ac:dyDescent="0.2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12.75" customHeight="1" x14ac:dyDescent="0.2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12.75" customHeight="1" x14ac:dyDescent="0.2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12.75" customHeight="1" x14ac:dyDescent="0.2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12.75" customHeight="1" x14ac:dyDescent="0.2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12.75" customHeight="1" x14ac:dyDescent="0.2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12.75" customHeight="1" x14ac:dyDescent="0.2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2.75" customHeight="1" x14ac:dyDescent="0.2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12.75" customHeight="1" x14ac:dyDescent="0.2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12.75" customHeight="1" x14ac:dyDescent="0.2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12.75" customHeight="1" x14ac:dyDescent="0.2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12.75" customHeight="1" x14ac:dyDescent="0.2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12.75" customHeight="1" x14ac:dyDescent="0.2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12.75" customHeight="1" x14ac:dyDescent="0.2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12.75" customHeight="1" x14ac:dyDescent="0.2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12.75" customHeight="1" x14ac:dyDescent="0.2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12.75" customHeight="1" x14ac:dyDescent="0.2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12.75" customHeight="1" x14ac:dyDescent="0.2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12.75" customHeight="1" x14ac:dyDescent="0.2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12.75" customHeight="1" x14ac:dyDescent="0.2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12.75" customHeight="1" x14ac:dyDescent="0.2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12.75" customHeight="1" x14ac:dyDescent="0.2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12.75" customHeight="1" x14ac:dyDescent="0.2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12.75" customHeight="1" x14ac:dyDescent="0.2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12.75" customHeight="1" x14ac:dyDescent="0.2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12.75" customHeight="1" x14ac:dyDescent="0.2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12.75" customHeight="1" x14ac:dyDescent="0.2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12.75" customHeight="1" x14ac:dyDescent="0.2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12.75" customHeight="1" x14ac:dyDescent="0.2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12.75" customHeight="1" x14ac:dyDescent="0.2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12.75" customHeight="1" x14ac:dyDescent="0.2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12.75" customHeight="1" x14ac:dyDescent="0.2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12.75" customHeight="1" x14ac:dyDescent="0.2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12.75" customHeight="1" x14ac:dyDescent="0.2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12.75" customHeight="1" x14ac:dyDescent="0.2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12.75" customHeight="1" x14ac:dyDescent="0.2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12.75" customHeight="1" x14ac:dyDescent="0.2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12.75" customHeight="1" x14ac:dyDescent="0.2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12.75" customHeight="1" x14ac:dyDescent="0.2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12.75" customHeight="1" x14ac:dyDescent="0.2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12.75" customHeight="1" x14ac:dyDescent="0.2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12.75" customHeight="1" x14ac:dyDescent="0.2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12.75" customHeight="1" x14ac:dyDescent="0.2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12.75" customHeight="1" x14ac:dyDescent="0.2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12.75" customHeight="1" x14ac:dyDescent="0.2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12.75" customHeight="1" x14ac:dyDescent="0.2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12.75" customHeight="1" x14ac:dyDescent="0.2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12.75" customHeight="1" x14ac:dyDescent="0.2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12.75" customHeight="1" x14ac:dyDescent="0.2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12.75" customHeight="1" x14ac:dyDescent="0.2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12.75" customHeight="1" x14ac:dyDescent="0.2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12.75" customHeight="1" x14ac:dyDescent="0.2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12.75" customHeight="1" x14ac:dyDescent="0.2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12.75" customHeight="1" x14ac:dyDescent="0.2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12.75" customHeight="1" x14ac:dyDescent="0.2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12.75" customHeight="1" x14ac:dyDescent="0.2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12.75" customHeight="1" x14ac:dyDescent="0.2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12.75" customHeight="1" x14ac:dyDescent="0.2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12.75" customHeight="1" x14ac:dyDescent="0.2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12.75" customHeight="1" x14ac:dyDescent="0.2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12.75" customHeight="1" x14ac:dyDescent="0.2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12.75" customHeight="1" x14ac:dyDescent="0.2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12.75" customHeight="1" x14ac:dyDescent="0.2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12.75" customHeight="1" x14ac:dyDescent="0.2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12.75" customHeight="1" x14ac:dyDescent="0.2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12.75" customHeight="1" x14ac:dyDescent="0.2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12.75" customHeight="1" x14ac:dyDescent="0.2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12.75" customHeight="1" x14ac:dyDescent="0.2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12.75" customHeight="1" x14ac:dyDescent="0.2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12.75" customHeight="1" x14ac:dyDescent="0.2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12.75" customHeight="1" x14ac:dyDescent="0.2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12.75" customHeight="1" x14ac:dyDescent="0.2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12.75" customHeight="1" x14ac:dyDescent="0.2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12.75" customHeight="1" x14ac:dyDescent="0.2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12.75" customHeight="1" x14ac:dyDescent="0.2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12.75" customHeight="1" x14ac:dyDescent="0.2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12.75" customHeight="1" x14ac:dyDescent="0.2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12.75" customHeight="1" x14ac:dyDescent="0.2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12.75" customHeight="1" x14ac:dyDescent="0.2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12.75" customHeight="1" x14ac:dyDescent="0.2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12.75" customHeight="1" x14ac:dyDescent="0.2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12.75" customHeight="1" x14ac:dyDescent="0.2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12.75" customHeight="1" x14ac:dyDescent="0.2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12.75" customHeight="1" x14ac:dyDescent="0.2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12.75" customHeight="1" x14ac:dyDescent="0.2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12.75" customHeight="1" x14ac:dyDescent="0.2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12.75" customHeight="1" x14ac:dyDescent="0.2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12.75" customHeight="1" x14ac:dyDescent="0.2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12.75" customHeight="1" x14ac:dyDescent="0.2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12.75" customHeight="1" x14ac:dyDescent="0.2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12.75" customHeight="1" x14ac:dyDescent="0.2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12.75" customHeight="1" x14ac:dyDescent="0.2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12.75" customHeight="1" x14ac:dyDescent="0.2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12.75" customHeight="1" x14ac:dyDescent="0.2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12.75" customHeight="1" x14ac:dyDescent="0.2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12.75" customHeight="1" x14ac:dyDescent="0.2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12.75" customHeight="1" x14ac:dyDescent="0.2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12.75" customHeight="1" x14ac:dyDescent="0.2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12.75" customHeight="1" x14ac:dyDescent="0.2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12.75" customHeight="1" x14ac:dyDescent="0.2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12.75" customHeight="1" x14ac:dyDescent="0.2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12.75" customHeight="1" x14ac:dyDescent="0.2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12.75" customHeight="1" x14ac:dyDescent="0.2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12.75" customHeight="1" x14ac:dyDescent="0.2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12.75" customHeight="1" x14ac:dyDescent="0.2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12.75" customHeight="1" x14ac:dyDescent="0.2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12.75" customHeight="1" x14ac:dyDescent="0.2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12.75" customHeight="1" x14ac:dyDescent="0.2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12.75" customHeight="1" x14ac:dyDescent="0.2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12.75" customHeight="1" x14ac:dyDescent="0.2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12.75" customHeight="1" x14ac:dyDescent="0.2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12.75" customHeight="1" x14ac:dyDescent="0.2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12.75" customHeight="1" x14ac:dyDescent="0.2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12.75" customHeight="1" x14ac:dyDescent="0.2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12.75" customHeight="1" x14ac:dyDescent="0.2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12.75" customHeight="1" x14ac:dyDescent="0.2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12.75" customHeight="1" x14ac:dyDescent="0.2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12.75" customHeight="1" x14ac:dyDescent="0.2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12.75" customHeight="1" x14ac:dyDescent="0.2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12.75" customHeight="1" x14ac:dyDescent="0.2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12.75" customHeight="1" x14ac:dyDescent="0.2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12.75" customHeight="1" x14ac:dyDescent="0.2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12.75" customHeight="1" x14ac:dyDescent="0.2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12.75" customHeight="1" x14ac:dyDescent="0.2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12.75" customHeight="1" x14ac:dyDescent="0.2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12.75" customHeight="1" x14ac:dyDescent="0.2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12.75" customHeight="1" x14ac:dyDescent="0.2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12.75" customHeight="1" x14ac:dyDescent="0.2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12.75" customHeight="1" x14ac:dyDescent="0.2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12.75" customHeight="1" x14ac:dyDescent="0.2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12.75" customHeight="1" x14ac:dyDescent="0.2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12.75" customHeight="1" x14ac:dyDescent="0.2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12.75" customHeight="1" x14ac:dyDescent="0.2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12.75" customHeight="1" x14ac:dyDescent="0.2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12.75" customHeight="1" x14ac:dyDescent="0.2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12.75" customHeight="1" x14ac:dyDescent="0.2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12.75" customHeight="1" x14ac:dyDescent="0.2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12.75" customHeight="1" x14ac:dyDescent="0.2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12.75" customHeight="1" x14ac:dyDescent="0.2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12.75" customHeight="1" x14ac:dyDescent="0.2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12.75" customHeight="1" x14ac:dyDescent="0.2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12.75" customHeight="1" x14ac:dyDescent="0.2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12.75" customHeight="1" x14ac:dyDescent="0.2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12.75" customHeight="1" x14ac:dyDescent="0.2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12.75" customHeight="1" x14ac:dyDescent="0.2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12.75" customHeight="1" x14ac:dyDescent="0.2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12.75" customHeight="1" x14ac:dyDescent="0.2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12.75" customHeight="1" x14ac:dyDescent="0.2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12.75" customHeight="1" x14ac:dyDescent="0.2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12.75" customHeight="1" x14ac:dyDescent="0.2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12.75" customHeight="1" x14ac:dyDescent="0.2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12.75" customHeight="1" x14ac:dyDescent="0.2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12.75" customHeight="1" x14ac:dyDescent="0.2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12.75" customHeight="1" x14ac:dyDescent="0.2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12.75" customHeight="1" x14ac:dyDescent="0.2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12.75" customHeight="1" x14ac:dyDescent="0.2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12.75" customHeight="1" x14ac:dyDescent="0.2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12.75" customHeight="1" x14ac:dyDescent="0.2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12.75" customHeight="1" x14ac:dyDescent="0.2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12.75" customHeight="1" x14ac:dyDescent="0.2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12.75" customHeight="1" x14ac:dyDescent="0.2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12.75" customHeight="1" x14ac:dyDescent="0.2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12.75" customHeight="1" x14ac:dyDescent="0.2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12.75" customHeight="1" x14ac:dyDescent="0.2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12.75" customHeight="1" x14ac:dyDescent="0.2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12.75" customHeight="1" x14ac:dyDescent="0.2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12.75" customHeight="1" x14ac:dyDescent="0.2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12.75" customHeight="1" x14ac:dyDescent="0.2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12.75" customHeight="1" x14ac:dyDescent="0.2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12.75" customHeight="1" x14ac:dyDescent="0.2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12.75" customHeight="1" x14ac:dyDescent="0.2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12.75" customHeight="1" x14ac:dyDescent="0.2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12.75" customHeight="1" x14ac:dyDescent="0.2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12.75" customHeight="1" x14ac:dyDescent="0.2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12.75" customHeight="1" x14ac:dyDescent="0.2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12.75" customHeight="1" x14ac:dyDescent="0.2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12.75" customHeight="1" x14ac:dyDescent="0.2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12.75" customHeight="1" x14ac:dyDescent="0.2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12.75" customHeight="1" x14ac:dyDescent="0.2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12.75" customHeight="1" x14ac:dyDescent="0.2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12.75" customHeight="1" x14ac:dyDescent="0.2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12.75" customHeight="1" x14ac:dyDescent="0.2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12.75" customHeight="1" x14ac:dyDescent="0.2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12.75" customHeight="1" x14ac:dyDescent="0.2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12.75" customHeight="1" x14ac:dyDescent="0.2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12.75" customHeight="1" x14ac:dyDescent="0.2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12.75" customHeight="1" x14ac:dyDescent="0.2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12.75" customHeight="1" x14ac:dyDescent="0.2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12.75" customHeight="1" x14ac:dyDescent="0.2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12.75" customHeight="1" x14ac:dyDescent="0.2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12.75" customHeight="1" x14ac:dyDescent="0.2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12.75" customHeight="1" x14ac:dyDescent="0.2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12.75" customHeight="1" x14ac:dyDescent="0.2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12.75" customHeight="1" x14ac:dyDescent="0.2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12.75" customHeight="1" x14ac:dyDescent="0.2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12.75" customHeight="1" x14ac:dyDescent="0.2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12.75" customHeight="1" x14ac:dyDescent="0.2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12.75" customHeight="1" x14ac:dyDescent="0.2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12.75" customHeight="1" x14ac:dyDescent="0.2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12.75" customHeight="1" x14ac:dyDescent="0.2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12.75" customHeight="1" x14ac:dyDescent="0.2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12.75" customHeight="1" x14ac:dyDescent="0.2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12.75" customHeight="1" x14ac:dyDescent="0.2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12.75" customHeight="1" x14ac:dyDescent="0.2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12.75" customHeight="1" x14ac:dyDescent="0.2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12.75" customHeight="1" x14ac:dyDescent="0.2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12.75" customHeight="1" x14ac:dyDescent="0.2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12.75" customHeight="1" x14ac:dyDescent="0.2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12.75" customHeight="1" x14ac:dyDescent="0.2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12.75" customHeight="1" x14ac:dyDescent="0.2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12.75" customHeight="1" x14ac:dyDescent="0.2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12.75" customHeight="1" x14ac:dyDescent="0.2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12.75" customHeight="1" x14ac:dyDescent="0.2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12.75" customHeight="1" x14ac:dyDescent="0.2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12.75" customHeight="1" x14ac:dyDescent="0.2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12.75" customHeight="1" x14ac:dyDescent="0.2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12.75" customHeight="1" x14ac:dyDescent="0.2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12.75" customHeight="1" x14ac:dyDescent="0.2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12.75" customHeight="1" x14ac:dyDescent="0.2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12.75" customHeight="1" x14ac:dyDescent="0.2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12.75" customHeight="1" x14ac:dyDescent="0.2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12.75" customHeight="1" x14ac:dyDescent="0.2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12.75" customHeight="1" x14ac:dyDescent="0.2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12.75" customHeight="1" x14ac:dyDescent="0.2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12.75" customHeight="1" x14ac:dyDescent="0.2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12.75" customHeight="1" x14ac:dyDescent="0.2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12.75" customHeight="1" x14ac:dyDescent="0.2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12.75" customHeight="1" x14ac:dyDescent="0.2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12.75" customHeight="1" x14ac:dyDescent="0.2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12.75" customHeight="1" x14ac:dyDescent="0.2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12.75" customHeight="1" x14ac:dyDescent="0.2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12.75" customHeight="1" x14ac:dyDescent="0.2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12.75" customHeight="1" x14ac:dyDescent="0.2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12.75" customHeight="1" x14ac:dyDescent="0.2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12.75" customHeight="1" x14ac:dyDescent="0.2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12.75" customHeight="1" x14ac:dyDescent="0.2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12.75" customHeight="1" x14ac:dyDescent="0.2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12.75" customHeight="1" x14ac:dyDescent="0.2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12.75" customHeight="1" x14ac:dyDescent="0.2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12.75" customHeight="1" x14ac:dyDescent="0.2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12.75" customHeight="1" x14ac:dyDescent="0.2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12.75" customHeight="1" x14ac:dyDescent="0.2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12.75" customHeight="1" x14ac:dyDescent="0.2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12.75" customHeight="1" x14ac:dyDescent="0.2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12.75" customHeight="1" x14ac:dyDescent="0.2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12.75" customHeight="1" x14ac:dyDescent="0.2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12.75" customHeight="1" x14ac:dyDescent="0.2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12.75" customHeight="1" x14ac:dyDescent="0.2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12.75" customHeight="1" x14ac:dyDescent="0.2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12.75" customHeight="1" x14ac:dyDescent="0.2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12.75" customHeight="1" x14ac:dyDescent="0.2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12.75" customHeight="1" x14ac:dyDescent="0.2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12.75" customHeight="1" x14ac:dyDescent="0.2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12.75" customHeight="1" x14ac:dyDescent="0.2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12.75" customHeight="1" x14ac:dyDescent="0.2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12.75" customHeight="1" x14ac:dyDescent="0.2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12.75" customHeight="1" x14ac:dyDescent="0.2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12.75" customHeight="1" x14ac:dyDescent="0.2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12.75" customHeight="1" x14ac:dyDescent="0.2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12.75" customHeight="1" x14ac:dyDescent="0.2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12.75" customHeight="1" x14ac:dyDescent="0.2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12.75" customHeight="1" x14ac:dyDescent="0.2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12.75" customHeight="1" x14ac:dyDescent="0.2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12.75" customHeight="1" x14ac:dyDescent="0.2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12.75" customHeight="1" x14ac:dyDescent="0.2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12.75" customHeight="1" x14ac:dyDescent="0.2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12.75" customHeight="1" x14ac:dyDescent="0.2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12.75" customHeight="1" x14ac:dyDescent="0.2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12.75" customHeight="1" x14ac:dyDescent="0.2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12.75" customHeight="1" x14ac:dyDescent="0.2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12.75" customHeight="1" x14ac:dyDescent="0.2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12.75" customHeight="1" x14ac:dyDescent="0.2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12.75" customHeight="1" x14ac:dyDescent="0.2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12.75" customHeight="1" x14ac:dyDescent="0.2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12.75" customHeight="1" x14ac:dyDescent="0.2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12.75" customHeight="1" x14ac:dyDescent="0.2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12.75" customHeight="1" x14ac:dyDescent="0.2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12.75" customHeight="1" x14ac:dyDescent="0.2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12.75" customHeight="1" x14ac:dyDescent="0.2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12.75" customHeight="1" x14ac:dyDescent="0.2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12.75" customHeight="1" x14ac:dyDescent="0.2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12.75" customHeight="1" x14ac:dyDescent="0.2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12.75" customHeight="1" x14ac:dyDescent="0.2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12.75" customHeight="1" x14ac:dyDescent="0.2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12.75" customHeight="1" x14ac:dyDescent="0.2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12.75" customHeight="1" x14ac:dyDescent="0.2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12.75" customHeight="1" x14ac:dyDescent="0.2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12.75" customHeight="1" x14ac:dyDescent="0.2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12.75" customHeight="1" x14ac:dyDescent="0.2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12.75" customHeight="1" x14ac:dyDescent="0.2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12.75" customHeight="1" x14ac:dyDescent="0.2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12.75" customHeight="1" x14ac:dyDescent="0.2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12.75" customHeight="1" x14ac:dyDescent="0.2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12.75" customHeight="1" x14ac:dyDescent="0.2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12.75" customHeight="1" x14ac:dyDescent="0.2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12.75" customHeight="1" x14ac:dyDescent="0.2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12.75" customHeight="1" x14ac:dyDescent="0.2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12.75" customHeight="1" x14ac:dyDescent="0.2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12.75" customHeight="1" x14ac:dyDescent="0.2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12.75" customHeight="1" x14ac:dyDescent="0.2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12.75" customHeight="1" x14ac:dyDescent="0.2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12.75" customHeight="1" x14ac:dyDescent="0.2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12.75" customHeight="1" x14ac:dyDescent="0.2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12.75" customHeight="1" x14ac:dyDescent="0.2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12.75" customHeight="1" x14ac:dyDescent="0.2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12.75" customHeight="1" x14ac:dyDescent="0.2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12.75" customHeight="1" x14ac:dyDescent="0.2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12.75" customHeight="1" x14ac:dyDescent="0.2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12.75" customHeight="1" x14ac:dyDescent="0.2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12.75" customHeight="1" x14ac:dyDescent="0.2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12.75" customHeight="1" x14ac:dyDescent="0.2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12.75" customHeight="1" x14ac:dyDescent="0.2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12.75" customHeight="1" x14ac:dyDescent="0.2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12.75" customHeight="1" x14ac:dyDescent="0.2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12.75" customHeight="1" x14ac:dyDescent="0.2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12.75" customHeight="1" x14ac:dyDescent="0.2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12.75" customHeight="1" x14ac:dyDescent="0.2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12.75" customHeight="1" x14ac:dyDescent="0.2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12.75" customHeight="1" x14ac:dyDescent="0.2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12.75" customHeight="1" x14ac:dyDescent="0.2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12.75" customHeight="1" x14ac:dyDescent="0.2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12.75" customHeight="1" x14ac:dyDescent="0.2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12.75" customHeight="1" x14ac:dyDescent="0.2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12.75" customHeight="1" x14ac:dyDescent="0.2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12.75" customHeight="1" x14ac:dyDescent="0.2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12.75" customHeight="1" x14ac:dyDescent="0.2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12.75" customHeight="1" x14ac:dyDescent="0.2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12.75" customHeight="1" x14ac:dyDescent="0.2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12.75" customHeight="1" x14ac:dyDescent="0.2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12.75" customHeight="1" x14ac:dyDescent="0.2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12.75" customHeight="1" x14ac:dyDescent="0.2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12.75" customHeight="1" x14ac:dyDescent="0.2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12.75" customHeight="1" x14ac:dyDescent="0.2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12.75" customHeight="1" x14ac:dyDescent="0.2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12.75" customHeight="1" x14ac:dyDescent="0.2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12.75" customHeight="1" x14ac:dyDescent="0.2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12.75" customHeight="1" x14ac:dyDescent="0.2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12.75" customHeight="1" x14ac:dyDescent="0.2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12.75" customHeight="1" x14ac:dyDescent="0.2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12.75" customHeight="1" x14ac:dyDescent="0.2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12.75" customHeight="1" x14ac:dyDescent="0.2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12.75" customHeight="1" x14ac:dyDescent="0.2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12.75" customHeight="1" x14ac:dyDescent="0.2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12.75" customHeight="1" x14ac:dyDescent="0.2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12.75" customHeight="1" x14ac:dyDescent="0.2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12.75" customHeight="1" x14ac:dyDescent="0.2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12.75" customHeight="1" x14ac:dyDescent="0.2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12.75" customHeight="1" x14ac:dyDescent="0.2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12.75" customHeight="1" x14ac:dyDescent="0.2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12.75" customHeight="1" x14ac:dyDescent="0.2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12.75" customHeight="1" x14ac:dyDescent="0.2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12.75" customHeight="1" x14ac:dyDescent="0.2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12.75" customHeight="1" x14ac:dyDescent="0.2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12.75" customHeight="1" x14ac:dyDescent="0.2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12.75" customHeight="1" x14ac:dyDescent="0.2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12.75" customHeight="1" x14ac:dyDescent="0.2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12.75" customHeight="1" x14ac:dyDescent="0.2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12.75" customHeight="1" x14ac:dyDescent="0.2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12.75" customHeight="1" x14ac:dyDescent="0.2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12.75" customHeight="1" x14ac:dyDescent="0.2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12.75" customHeight="1" x14ac:dyDescent="0.2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12.75" customHeight="1" x14ac:dyDescent="0.2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12.75" customHeight="1" x14ac:dyDescent="0.2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12.75" customHeight="1" x14ac:dyDescent="0.2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12.75" customHeight="1" x14ac:dyDescent="0.2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12.75" customHeight="1" x14ac:dyDescent="0.2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12.75" customHeight="1" x14ac:dyDescent="0.2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12.75" customHeight="1" x14ac:dyDescent="0.2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12.75" customHeight="1" x14ac:dyDescent="0.2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12.75" customHeight="1" x14ac:dyDescent="0.2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12.75" customHeight="1" x14ac:dyDescent="0.2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12.75" customHeight="1" x14ac:dyDescent="0.2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12.75" customHeight="1" x14ac:dyDescent="0.2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12.75" customHeight="1" x14ac:dyDescent="0.2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12.75" customHeight="1" x14ac:dyDescent="0.2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12.75" customHeight="1" x14ac:dyDescent="0.2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3">
    <mergeCell ref="C4:D4"/>
    <mergeCell ref="C5:D5"/>
    <mergeCell ref="B2:L2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showGridLines="0" workbookViewId="0">
      <pane ySplit="2" topLeftCell="A3" activePane="bottomLeft" state="frozen"/>
      <selection pane="bottomLeft" activeCell="B4" sqref="B4"/>
    </sheetView>
  </sheetViews>
  <sheetFormatPr defaultColWidth="11.21875" defaultRowHeight="15" customHeight="1" x14ac:dyDescent="0.2"/>
  <cols>
    <col min="1" max="1" width="3.77734375" customWidth="1"/>
    <col min="2" max="4" width="3.77734375" hidden="1" customWidth="1"/>
    <col min="5" max="5" width="7.77734375" hidden="1" customWidth="1"/>
    <col min="6" max="6" width="13.109375" hidden="1" customWidth="1"/>
    <col min="7" max="7" width="10" hidden="1" customWidth="1"/>
    <col min="8" max="8" width="3.77734375" hidden="1" customWidth="1"/>
    <col min="9" max="10" width="8.21875" customWidth="1"/>
    <col min="11" max="11" width="10.109375" customWidth="1"/>
    <col min="12" max="21" width="10.6640625" customWidth="1"/>
    <col min="22" max="31" width="9.109375" hidden="1" customWidth="1"/>
    <col min="32" max="35" width="7.109375" customWidth="1"/>
    <col min="36" max="37" width="8" hidden="1" customWidth="1"/>
    <col min="38" max="41" width="7.109375" customWidth="1"/>
  </cols>
  <sheetData>
    <row r="1" spans="1:41" ht="39.75" customHeight="1" x14ac:dyDescent="0.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</row>
    <row r="2" spans="1:41" ht="24.75" customHeight="1" x14ac:dyDescent="0.2">
      <c r="A2" s="15"/>
      <c r="B2" s="15"/>
      <c r="C2" s="15"/>
      <c r="D2" s="15"/>
      <c r="E2" s="15"/>
      <c r="F2" s="15"/>
      <c r="G2" s="15"/>
      <c r="H2" s="15"/>
      <c r="I2" s="359" t="s">
        <v>140</v>
      </c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74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spans="1:41" ht="15.75" x14ac:dyDescent="0.2">
      <c r="A3" s="15"/>
      <c r="B3" s="15"/>
      <c r="C3" s="15"/>
      <c r="D3" s="15"/>
      <c r="E3" s="15"/>
      <c r="F3" s="15"/>
      <c r="G3" s="15"/>
      <c r="H3" s="15"/>
      <c r="I3" s="53"/>
      <c r="J3" s="53"/>
      <c r="K3" s="53"/>
      <c r="L3" s="143"/>
      <c r="M3" s="143"/>
      <c r="N3" s="143"/>
      <c r="O3" s="143"/>
      <c r="P3" s="143"/>
      <c r="Q3" s="143"/>
      <c r="R3" s="143"/>
      <c r="S3" s="143"/>
      <c r="T3" s="143"/>
      <c r="U3" s="144">
        <f ca="1">NOW()</f>
        <v>43181.370863657408</v>
      </c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5"/>
      <c r="AG3" s="15"/>
      <c r="AH3" s="15"/>
      <c r="AI3" s="15"/>
      <c r="AJ3" s="15"/>
      <c r="AK3" s="15"/>
      <c r="AL3" s="15"/>
      <c r="AM3" s="15"/>
      <c r="AN3" s="15"/>
      <c r="AO3" s="15"/>
    </row>
    <row r="4" spans="1:41" ht="19.5" customHeight="1" x14ac:dyDescent="0.2">
      <c r="A4" s="15"/>
      <c r="B4" s="15"/>
      <c r="C4" s="15"/>
      <c r="D4" s="15"/>
      <c r="E4" s="15"/>
      <c r="F4" s="15"/>
      <c r="G4" s="15"/>
      <c r="H4" s="15"/>
      <c r="I4" s="360" t="s">
        <v>4</v>
      </c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90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</row>
    <row r="5" spans="1:41" ht="3" customHeight="1" x14ac:dyDescent="0.2">
      <c r="A5" s="15"/>
      <c r="B5" s="15"/>
      <c r="C5" s="15"/>
      <c r="D5" s="15"/>
      <c r="E5" s="15"/>
      <c r="F5" s="15"/>
      <c r="G5" s="15"/>
      <c r="H5" s="15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spans="1:41" ht="19.5" customHeight="1" x14ac:dyDescent="0.2">
      <c r="A6" s="15"/>
      <c r="B6" s="15"/>
      <c r="C6" s="15"/>
      <c r="D6" s="15"/>
      <c r="E6" s="15"/>
      <c r="F6" s="15"/>
      <c r="G6" s="15"/>
      <c r="H6" s="15"/>
      <c r="I6" s="53" t="str">
        <f>Proposta!I6</f>
        <v>Cliente:</v>
      </c>
      <c r="J6" s="146" t="str">
        <f>IF(Proposta!J6="","",Proposta!J6)</f>
        <v/>
      </c>
      <c r="K6" s="53"/>
      <c r="L6" s="53"/>
      <c r="M6" s="53"/>
      <c r="N6" s="53"/>
      <c r="O6" s="147"/>
      <c r="P6" s="58"/>
      <c r="Q6" s="53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spans="1:41" ht="19.5" customHeight="1" x14ac:dyDescent="0.2">
      <c r="A7" s="15"/>
      <c r="B7" s="15"/>
      <c r="C7" s="15"/>
      <c r="D7" s="15"/>
      <c r="E7" s="15"/>
      <c r="F7" s="15"/>
      <c r="G7" s="15"/>
      <c r="H7" s="15"/>
      <c r="I7" s="53" t="str">
        <f>Proposta!I7</f>
        <v>CPF/CNPJ:</v>
      </c>
      <c r="J7" s="146" t="str">
        <f>IF(Proposta!J7="","",Proposta!J7)</f>
        <v/>
      </c>
      <c r="K7" s="57"/>
      <c r="L7" s="57"/>
      <c r="M7" s="57"/>
      <c r="N7" s="57"/>
      <c r="O7" s="57"/>
      <c r="P7" s="57"/>
      <c r="Q7" s="57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spans="1:41" ht="19.5" customHeight="1" x14ac:dyDescent="0.2">
      <c r="A8" s="15"/>
      <c r="B8" s="15"/>
      <c r="C8" s="15"/>
      <c r="D8" s="15"/>
      <c r="E8" s="15"/>
      <c r="F8" s="15"/>
      <c r="G8" s="15"/>
      <c r="H8" s="15"/>
      <c r="I8" s="53" t="s">
        <v>55</v>
      </c>
      <c r="J8" s="59" t="str">
        <f>IF(Proposta!Q6="","",Proposta!Q6)</f>
        <v/>
      </c>
      <c r="K8" s="57"/>
      <c r="L8" s="57"/>
      <c r="M8" s="57"/>
      <c r="N8" s="57"/>
      <c r="O8" s="57"/>
      <c r="P8" s="57"/>
      <c r="Q8" s="57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5"/>
      <c r="AG8" s="15"/>
      <c r="AH8" s="15"/>
      <c r="AI8" s="15"/>
      <c r="AJ8" s="15"/>
      <c r="AK8" s="15"/>
      <c r="AL8" s="15"/>
      <c r="AM8" s="15"/>
      <c r="AN8" s="15"/>
      <c r="AO8" s="15"/>
    </row>
    <row r="9" spans="1:41" ht="19.5" customHeight="1" x14ac:dyDescent="0.2">
      <c r="A9" s="15"/>
      <c r="B9" s="15"/>
      <c r="C9" s="15"/>
      <c r="D9" s="15"/>
      <c r="E9" s="15"/>
      <c r="F9" s="15"/>
      <c r="G9" s="15"/>
      <c r="H9" s="15"/>
      <c r="I9" s="148" t="str">
        <f>Proposta!P7</f>
        <v>UTE:</v>
      </c>
      <c r="J9" s="149" t="str">
        <f>IF(Proposta!Q7="","",Proposta!Q7)</f>
        <v/>
      </c>
      <c r="K9" s="150"/>
      <c r="L9" s="150"/>
      <c r="M9" s="150"/>
      <c r="N9" s="150"/>
      <c r="O9" s="150"/>
      <c r="P9" s="150"/>
      <c r="Q9" s="150"/>
      <c r="R9" s="151"/>
      <c r="S9" s="151"/>
      <c r="T9" s="151"/>
      <c r="U9" s="151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5"/>
      <c r="AG9" s="15"/>
      <c r="AH9" s="15"/>
      <c r="AI9" s="15"/>
      <c r="AJ9" s="15"/>
      <c r="AK9" s="15"/>
      <c r="AL9" s="15"/>
      <c r="AM9" s="15"/>
      <c r="AN9" s="15"/>
      <c r="AO9" s="15"/>
    </row>
    <row r="10" spans="1:41" ht="15.75" x14ac:dyDescent="0.2">
      <c r="A10" s="15"/>
      <c r="B10" s="15"/>
      <c r="C10" s="15"/>
      <c r="D10" s="15"/>
      <c r="E10" s="15"/>
      <c r="F10" s="15"/>
      <c r="G10" s="15"/>
      <c r="H10" s="15"/>
      <c r="I10" s="146"/>
      <c r="J10" s="58"/>
      <c r="K10" s="57"/>
      <c r="L10" s="57"/>
      <c r="M10" s="57"/>
      <c r="N10" s="57"/>
      <c r="O10" s="57"/>
      <c r="P10" s="57"/>
      <c r="Q10" s="57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5"/>
      <c r="AG10" s="15"/>
      <c r="AH10" s="15"/>
      <c r="AI10" s="15"/>
      <c r="AJ10" s="15"/>
      <c r="AK10" s="15"/>
      <c r="AL10" s="15"/>
      <c r="AM10" s="15"/>
      <c r="AN10" s="15"/>
      <c r="AO10" s="15"/>
    </row>
    <row r="11" spans="1:41" ht="16.5" x14ac:dyDescent="0.2">
      <c r="A11" s="15"/>
      <c r="B11" s="15"/>
      <c r="C11" s="15"/>
      <c r="D11" s="15"/>
      <c r="E11" s="16" t="s">
        <v>2</v>
      </c>
      <c r="F11" s="15"/>
      <c r="G11" s="15"/>
      <c r="H11" s="15"/>
      <c r="I11" s="355" t="s">
        <v>141</v>
      </c>
      <c r="J11" s="286"/>
      <c r="K11" s="282"/>
      <c r="L11" s="152" t="s">
        <v>142</v>
      </c>
      <c r="M11" s="152" t="s">
        <v>143</v>
      </c>
      <c r="N11" s="152" t="s">
        <v>144</v>
      </c>
      <c r="O11" s="152" t="s">
        <v>145</v>
      </c>
      <c r="P11" s="152" t="s">
        <v>146</v>
      </c>
      <c r="Q11" s="152" t="s">
        <v>147</v>
      </c>
      <c r="R11" s="152" t="s">
        <v>148</v>
      </c>
      <c r="S11" s="152" t="s">
        <v>149</v>
      </c>
      <c r="T11" s="152" t="s">
        <v>150</v>
      </c>
      <c r="U11" s="152" t="s">
        <v>151</v>
      </c>
      <c r="V11" s="153" t="s">
        <v>152</v>
      </c>
      <c r="W11" s="153" t="s">
        <v>153</v>
      </c>
      <c r="X11" s="153" t="s">
        <v>154</v>
      </c>
      <c r="Y11" s="153" t="s">
        <v>155</v>
      </c>
      <c r="Z11" s="153" t="s">
        <v>156</v>
      </c>
      <c r="AA11" s="153" t="s">
        <v>157</v>
      </c>
      <c r="AB11" s="153" t="s">
        <v>158</v>
      </c>
      <c r="AC11" s="153" t="s">
        <v>159</v>
      </c>
      <c r="AD11" s="153" t="s">
        <v>160</v>
      </c>
      <c r="AE11" s="153" t="s">
        <v>161</v>
      </c>
      <c r="AF11" s="15"/>
      <c r="AG11" s="15"/>
      <c r="AH11" s="15"/>
      <c r="AI11" s="15"/>
      <c r="AJ11" s="15"/>
      <c r="AK11" s="15"/>
      <c r="AL11" s="15"/>
      <c r="AM11" s="15"/>
      <c r="AN11" s="15"/>
      <c r="AO11" s="15"/>
    </row>
    <row r="12" spans="1:41" ht="16.5" x14ac:dyDescent="0.25">
      <c r="A12" s="15"/>
      <c r="B12" s="15"/>
      <c r="C12" s="15"/>
      <c r="D12" s="15"/>
      <c r="E12" s="18">
        <v>1</v>
      </c>
      <c r="F12" s="15"/>
      <c r="G12" s="15"/>
      <c r="H12" s="15"/>
      <c r="I12" s="357" t="s">
        <v>162</v>
      </c>
      <c r="J12" s="312"/>
      <c r="K12" s="358"/>
      <c r="L12" s="154">
        <f>Proposta!J47</f>
        <v>30000</v>
      </c>
      <c r="M12" s="154">
        <f>Proposta!J48</f>
        <v>30000</v>
      </c>
      <c r="N12" s="154">
        <f>Proposta!J49</f>
        <v>30000</v>
      </c>
      <c r="O12" s="154">
        <f>Proposta!J50</f>
        <v>30000</v>
      </c>
      <c r="P12" s="154">
        <f>Proposta!J51</f>
        <v>30000</v>
      </c>
      <c r="Q12" s="154">
        <f>Proposta!J52</f>
        <v>30000</v>
      </c>
      <c r="R12" s="154">
        <f>Proposta!J53</f>
        <v>30000</v>
      </c>
      <c r="S12" s="154">
        <f>Proposta!J54</f>
        <v>30000</v>
      </c>
      <c r="T12" s="154">
        <f>Proposta!J55</f>
        <v>30000</v>
      </c>
      <c r="U12" s="154">
        <f>Proposta!J56</f>
        <v>30000</v>
      </c>
      <c r="V12" s="155">
        <f>Proposta!J57</f>
        <v>30000</v>
      </c>
      <c r="W12" s="155">
        <f>Proposta!J58</f>
        <v>30000</v>
      </c>
      <c r="X12" s="155">
        <f>Proposta!J59</f>
        <v>30000</v>
      </c>
      <c r="Y12" s="155">
        <f>Proposta!J60</f>
        <v>30000</v>
      </c>
      <c r="Z12" s="155">
        <f>Proposta!J61</f>
        <v>30000</v>
      </c>
      <c r="AA12" s="155">
        <f>Proposta!J62</f>
        <v>30000</v>
      </c>
      <c r="AB12" s="155">
        <f>Proposta!J63</f>
        <v>30000</v>
      </c>
      <c r="AC12" s="155">
        <f>Proposta!J64</f>
        <v>30000</v>
      </c>
      <c r="AD12" s="155">
        <f>Proposta!J65</f>
        <v>30000</v>
      </c>
      <c r="AE12" s="155">
        <f>Proposta!J66</f>
        <v>30000</v>
      </c>
      <c r="AF12" s="15"/>
      <c r="AG12" s="15"/>
      <c r="AH12" s="15"/>
      <c r="AI12" s="15"/>
      <c r="AJ12" s="15"/>
      <c r="AK12" s="15"/>
      <c r="AL12" s="15"/>
      <c r="AM12" s="15"/>
      <c r="AN12" s="15"/>
      <c r="AO12" s="15"/>
    </row>
    <row r="13" spans="1:41" ht="16.5" x14ac:dyDescent="0.25">
      <c r="A13" s="15"/>
      <c r="B13" s="15"/>
      <c r="C13" s="15"/>
      <c r="D13" s="15"/>
      <c r="E13" s="18">
        <v>1</v>
      </c>
      <c r="F13" s="15"/>
      <c r="G13" s="15"/>
      <c r="H13" s="15"/>
      <c r="I13" s="354" t="s">
        <v>163</v>
      </c>
      <c r="J13" s="298"/>
      <c r="K13" s="274"/>
      <c r="L13" s="154">
        <f>IF(OR(Proposta!$O$47="Informe % ou Valor",Proposta!$O$47=0,Proposta!$O$47=""),0,Proposta!$O$47)</f>
        <v>18000</v>
      </c>
      <c r="M13" s="154">
        <f>IF(OR(Proposta!$O$48="Informe % ou Valor",Proposta!$O$48=0,Proposta!$O$48=""),0,Proposta!$O$48)</f>
        <v>18000</v>
      </c>
      <c r="N13" s="154">
        <f>IF(OR(Proposta!$O$49="Informe % ou Valor",Proposta!$O$49=0,Proposta!$O$49=""),0,Proposta!$O$49)</f>
        <v>18000</v>
      </c>
      <c r="O13" s="154">
        <f>IF(OR(Proposta!$O$50="Informe % ou Valor",Proposta!$O$50=0,Proposta!$O$50=""),0,Proposta!$O$50)</f>
        <v>18000</v>
      </c>
      <c r="P13" s="154">
        <f>IF(OR(Proposta!$O$51="Informe % ou Valor",Proposta!$O$51=0,Proposta!$O$51=""),0,Proposta!$O$51)</f>
        <v>18000</v>
      </c>
      <c r="Q13" s="154">
        <f>IF(OR(Proposta!$O$52="Informe % ou Valor",Proposta!$O$52=0,Proposta!$O$52=""),0,Proposta!$O$52)</f>
        <v>18000</v>
      </c>
      <c r="R13" s="154">
        <f>IF(OR(Proposta!$O$53="Informe % ou Valor",Proposta!$O$53=0,Proposta!$O$53=""),0,Proposta!$O$53)</f>
        <v>18000</v>
      </c>
      <c r="S13" s="154">
        <f>IF(OR(Proposta!$O$54="Informe % ou Valor",Proposta!$O$54=0,Proposta!$O$54=""),0,Proposta!$O$54)</f>
        <v>18000</v>
      </c>
      <c r="T13" s="154">
        <f>IF(OR(Proposta!$O$55="Informe % ou Valor",Proposta!$O$55=0,Proposta!$O$55=""),0,Proposta!$O$55)</f>
        <v>18000</v>
      </c>
      <c r="U13" s="154">
        <f>IF(OR(Proposta!$O$56="Informe % ou Valor",Proposta!$O$56=0,Proposta!$O$56=""),0,Proposta!$O$56)</f>
        <v>18000</v>
      </c>
      <c r="V13" s="155">
        <f>IF(OR(Proposta!$O$57="Informe % ou Valor",Proposta!$O$57=0,Proposta!$O$57=""),0,Proposta!$O$57)</f>
        <v>18000</v>
      </c>
      <c r="W13" s="155">
        <f>IF(OR(Proposta!$O$58="Informe % ou Valor",Proposta!$O$58=0,Proposta!$O$58=""),0,Proposta!$O$58)</f>
        <v>18000</v>
      </c>
      <c r="X13" s="155">
        <f>IF(OR(Proposta!$O$59="Informe % ou Valor",Proposta!$O$59=0,Proposta!$O$59=""),0,Proposta!$O$59)</f>
        <v>18000</v>
      </c>
      <c r="Y13" s="155">
        <f>IF(OR(Proposta!$O$60="Informe % ou Valor",Proposta!$O$60=0,Proposta!$O$60=""),0,Proposta!$O$60)</f>
        <v>18000</v>
      </c>
      <c r="Z13" s="155">
        <f>IF(OR(Proposta!$O$61="Informe % ou Valor",Proposta!$O$61=0,Proposta!$O$61=""),0,Proposta!$O$61)</f>
        <v>18000</v>
      </c>
      <c r="AA13" s="155">
        <f>IF(OR(Proposta!$O$62="Informe % ou Valor",Proposta!$O$62=0,Proposta!$O$62=""),0,Proposta!$O$62)</f>
        <v>18000</v>
      </c>
      <c r="AB13" s="155">
        <f>IF(OR(Proposta!$O$63="Informe % ou Valor",Proposta!$O$63=0,Proposta!$O$63=""),0,Proposta!$O$63)</f>
        <v>18000</v>
      </c>
      <c r="AC13" s="155">
        <f>IF(OR(Proposta!$O$64="Informe % ou Valor",Proposta!$O$64=0,Proposta!$O$64=""),0,Proposta!$O$64)</f>
        <v>18000</v>
      </c>
      <c r="AD13" s="155">
        <f>IF(OR(Proposta!$O$65="Informe % ou Valor",Proposta!$O$65=0,Proposta!$O$65=""),0,Proposta!$O$65)</f>
        <v>18000</v>
      </c>
      <c r="AE13" s="155">
        <f>IF(OR(Proposta!$O$66="Informe % ou Valor",Proposta!$O$66=0,Proposta!$O$66=""),0,Proposta!$O$66)</f>
        <v>18000</v>
      </c>
      <c r="AF13" s="15"/>
      <c r="AG13" s="15"/>
      <c r="AH13" s="15"/>
      <c r="AI13" s="15"/>
      <c r="AJ13" s="15"/>
      <c r="AK13" s="15"/>
      <c r="AL13" s="15"/>
      <c r="AM13" s="15"/>
      <c r="AN13" s="15"/>
      <c r="AO13" s="15"/>
    </row>
    <row r="14" spans="1:41" ht="16.5" x14ac:dyDescent="0.25">
      <c r="A14" s="15"/>
      <c r="B14" s="15"/>
      <c r="C14" s="15"/>
      <c r="D14" s="15"/>
      <c r="E14" s="18">
        <v>1</v>
      </c>
      <c r="F14" s="15"/>
      <c r="G14" s="15"/>
      <c r="H14" s="15"/>
      <c r="I14" s="354" t="s">
        <v>164</v>
      </c>
      <c r="J14" s="298"/>
      <c r="K14" s="274"/>
      <c r="L14" s="156">
        <f t="shared" ref="L14:AE14" si="0">L12-L13</f>
        <v>12000</v>
      </c>
      <c r="M14" s="156">
        <f t="shared" si="0"/>
        <v>12000</v>
      </c>
      <c r="N14" s="156">
        <f t="shared" si="0"/>
        <v>12000</v>
      </c>
      <c r="O14" s="156">
        <f t="shared" si="0"/>
        <v>12000</v>
      </c>
      <c r="P14" s="156">
        <f t="shared" si="0"/>
        <v>12000</v>
      </c>
      <c r="Q14" s="156">
        <f t="shared" si="0"/>
        <v>12000</v>
      </c>
      <c r="R14" s="156">
        <f t="shared" si="0"/>
        <v>12000</v>
      </c>
      <c r="S14" s="156">
        <f t="shared" si="0"/>
        <v>12000</v>
      </c>
      <c r="T14" s="156">
        <f t="shared" si="0"/>
        <v>12000</v>
      </c>
      <c r="U14" s="156">
        <f t="shared" si="0"/>
        <v>12000</v>
      </c>
      <c r="V14" s="157">
        <f t="shared" si="0"/>
        <v>12000</v>
      </c>
      <c r="W14" s="157">
        <f t="shared" si="0"/>
        <v>12000</v>
      </c>
      <c r="X14" s="157">
        <f t="shared" si="0"/>
        <v>12000</v>
      </c>
      <c r="Y14" s="157">
        <f t="shared" si="0"/>
        <v>12000</v>
      </c>
      <c r="Z14" s="157">
        <f t="shared" si="0"/>
        <v>12000</v>
      </c>
      <c r="AA14" s="157">
        <f t="shared" si="0"/>
        <v>12000</v>
      </c>
      <c r="AB14" s="157">
        <f t="shared" si="0"/>
        <v>12000</v>
      </c>
      <c r="AC14" s="157">
        <f t="shared" si="0"/>
        <v>12000</v>
      </c>
      <c r="AD14" s="157">
        <f t="shared" si="0"/>
        <v>12000</v>
      </c>
      <c r="AE14" s="157">
        <f t="shared" si="0"/>
        <v>12000</v>
      </c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spans="1:41" ht="16.5" hidden="1" x14ac:dyDescent="0.2">
      <c r="A15" s="15"/>
      <c r="B15" s="15"/>
      <c r="C15" s="15"/>
      <c r="D15" s="15"/>
      <c r="E15" s="46">
        <f>IF(SUM(L15:AE15)=0,0,1)</f>
        <v>0</v>
      </c>
      <c r="F15" s="15"/>
      <c r="G15" s="15"/>
      <c r="H15" s="15"/>
      <c r="I15" s="354" t="s">
        <v>165</v>
      </c>
      <c r="J15" s="298"/>
      <c r="K15" s="274"/>
      <c r="L15" s="154">
        <f>Proposta!Q47</f>
        <v>0</v>
      </c>
      <c r="M15" s="154">
        <f>Proposta!Q48</f>
        <v>0</v>
      </c>
      <c r="N15" s="154">
        <f>Proposta!Q49</f>
        <v>0</v>
      </c>
      <c r="O15" s="154">
        <f>Proposta!Q50</f>
        <v>0</v>
      </c>
      <c r="P15" s="154">
        <f>Proposta!Q51</f>
        <v>0</v>
      </c>
      <c r="Q15" s="154">
        <f>Proposta!Q52</f>
        <v>0</v>
      </c>
      <c r="R15" s="154">
        <f>Proposta!Q53</f>
        <v>0</v>
      </c>
      <c r="S15" s="154">
        <f>Proposta!Q54</f>
        <v>0</v>
      </c>
      <c r="T15" s="154">
        <f>Proposta!Q55</f>
        <v>0</v>
      </c>
      <c r="U15" s="154">
        <f>Proposta!Q56</f>
        <v>0</v>
      </c>
      <c r="V15" s="155">
        <f>Proposta!Q57</f>
        <v>0</v>
      </c>
      <c r="W15" s="155">
        <f>Proposta!Q58</f>
        <v>0</v>
      </c>
      <c r="X15" s="155">
        <f>Proposta!Q59</f>
        <v>0</v>
      </c>
      <c r="Y15" s="155">
        <f>Proposta!Q60</f>
        <v>0</v>
      </c>
      <c r="Z15" s="155">
        <f>Proposta!Q61</f>
        <v>0</v>
      </c>
      <c r="AA15" s="155">
        <f>Proposta!Q62</f>
        <v>0</v>
      </c>
      <c r="AB15" s="155">
        <f>Proposta!Q63</f>
        <v>0</v>
      </c>
      <c r="AC15" s="155">
        <f>Proposta!Q64</f>
        <v>0</v>
      </c>
      <c r="AD15" s="155">
        <f>Proposta!Q65</f>
        <v>0</v>
      </c>
      <c r="AE15" s="155">
        <f>Proposta!Q66</f>
        <v>0</v>
      </c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spans="1:41" ht="16.5" x14ac:dyDescent="0.25">
      <c r="A16" s="15"/>
      <c r="B16" s="15"/>
      <c r="C16" s="15"/>
      <c r="D16" s="15"/>
      <c r="E16" s="18">
        <v>1</v>
      </c>
      <c r="F16" s="15"/>
      <c r="G16" s="15"/>
      <c r="H16" s="15"/>
      <c r="I16" s="354" t="s">
        <v>166</v>
      </c>
      <c r="J16" s="298"/>
      <c r="K16" s="274"/>
      <c r="L16" s="154">
        <f t="shared" ref="L16:AE16" si="1">SUM(L17:L36)</f>
        <v>0</v>
      </c>
      <c r="M16" s="154">
        <f t="shared" si="1"/>
        <v>0</v>
      </c>
      <c r="N16" s="154">
        <f t="shared" si="1"/>
        <v>0</v>
      </c>
      <c r="O16" s="154">
        <f t="shared" si="1"/>
        <v>47.77</v>
      </c>
      <c r="P16" s="154">
        <f t="shared" si="1"/>
        <v>60.01</v>
      </c>
      <c r="Q16" s="154">
        <f t="shared" si="1"/>
        <v>72.38</v>
      </c>
      <c r="R16" s="154">
        <f t="shared" si="1"/>
        <v>84.86</v>
      </c>
      <c r="S16" s="154">
        <f t="shared" si="1"/>
        <v>97.48</v>
      </c>
      <c r="T16" s="154">
        <f t="shared" si="1"/>
        <v>110.22</v>
      </c>
      <c r="U16" s="154">
        <f t="shared" si="1"/>
        <v>123.08</v>
      </c>
      <c r="V16" s="157">
        <f t="shared" si="1"/>
        <v>136.08000000000001</v>
      </c>
      <c r="W16" s="157">
        <f t="shared" si="1"/>
        <v>149.21</v>
      </c>
      <c r="X16" s="157">
        <f t="shared" si="1"/>
        <v>162.46</v>
      </c>
      <c r="Y16" s="157">
        <f t="shared" si="1"/>
        <v>175.85</v>
      </c>
      <c r="Z16" s="157">
        <f t="shared" si="1"/>
        <v>189.38</v>
      </c>
      <c r="AA16" s="157">
        <f t="shared" si="1"/>
        <v>203.03</v>
      </c>
      <c r="AB16" s="157">
        <f t="shared" si="1"/>
        <v>216.83</v>
      </c>
      <c r="AC16" s="157">
        <f t="shared" si="1"/>
        <v>230.76</v>
      </c>
      <c r="AD16" s="157">
        <f t="shared" si="1"/>
        <v>244.83</v>
      </c>
      <c r="AE16" s="157">
        <f t="shared" si="1"/>
        <v>259.05</v>
      </c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spans="1:41" ht="16.5" hidden="1" x14ac:dyDescent="0.2">
      <c r="A17" s="15"/>
      <c r="B17" s="15"/>
      <c r="C17" s="15"/>
      <c r="D17" s="15"/>
      <c r="E17" s="46">
        <f>IF(SUM(L17:AE17)=0,0,1)</f>
        <v>0</v>
      </c>
      <c r="F17" s="15"/>
      <c r="G17" s="15"/>
      <c r="H17" s="15"/>
      <c r="I17" s="354" t="str">
        <f>"  Encargos Op."&amp;Proposta!I14&amp;" - "&amp;Proposta!J14</f>
        <v xml:space="preserve">  Encargos Op. - SCR</v>
      </c>
      <c r="J17" s="298"/>
      <c r="K17" s="274"/>
      <c r="L17" s="154">
        <f>IF(Proposta!$Y$14="Sim",'Capacidade_de_Pagamento-Temp'!L17,'Capacidade_de_Pagamento-Temp-A'!L17)</f>
        <v>0</v>
      </c>
      <c r="M17" s="154">
        <f>IF(Proposta!$Y$14="Sim",'Capacidade_de_Pagamento-Temp'!M17,'Capacidade_de_Pagamento-Temp-A'!M17)</f>
        <v>0</v>
      </c>
      <c r="N17" s="154">
        <f>IF(Proposta!$Y$14="Sim",'Capacidade_de_Pagamento-Temp'!N17,'Capacidade_de_Pagamento-Temp-A'!N17)</f>
        <v>0</v>
      </c>
      <c r="O17" s="154">
        <f>IF(Proposta!$Y$14="Sim",'Capacidade_de_Pagamento-Temp'!O17,'Capacidade_de_Pagamento-Temp-A'!O17)</f>
        <v>0</v>
      </c>
      <c r="P17" s="154">
        <f>IF(Proposta!$Y$14="Sim",'Capacidade_de_Pagamento-Temp'!P17,'Capacidade_de_Pagamento-Temp-A'!P17)</f>
        <v>0</v>
      </c>
      <c r="Q17" s="154">
        <f>IF(Proposta!$Y$14="Sim",'Capacidade_de_Pagamento-Temp'!Q17,'Capacidade_de_Pagamento-Temp-A'!Q17)</f>
        <v>0</v>
      </c>
      <c r="R17" s="154">
        <f>IF(Proposta!$Y$14="Sim",'Capacidade_de_Pagamento-Temp'!R17,'Capacidade_de_Pagamento-Temp-A'!R17)</f>
        <v>0</v>
      </c>
      <c r="S17" s="154">
        <f>IF(Proposta!$Y$14="Sim",'Capacidade_de_Pagamento-Temp'!S17,'Capacidade_de_Pagamento-Temp-A'!S17)</f>
        <v>0</v>
      </c>
      <c r="T17" s="154">
        <f>IF(Proposta!$Y$14="Sim",'Capacidade_de_Pagamento-Temp'!T17,'Capacidade_de_Pagamento-Temp-A'!T17)</f>
        <v>0</v>
      </c>
      <c r="U17" s="154">
        <f>IF(Proposta!$Y$14="Sim",'Capacidade_de_Pagamento-Temp'!U17,'Capacidade_de_Pagamento-Temp-A'!U17)</f>
        <v>0</v>
      </c>
      <c r="V17" s="155">
        <f>IF(Proposta!$Y$14="Sim",'Capacidade_de_Pagamento-Temp'!V17,'Capacidade_de_Pagamento-Temp-A'!V17)</f>
        <v>0</v>
      </c>
      <c r="W17" s="155">
        <f>IF(Proposta!$Y$14="Sim",'Capacidade_de_Pagamento-Temp'!W17,'Capacidade_de_Pagamento-Temp-A'!W17)</f>
        <v>0</v>
      </c>
      <c r="X17" s="155">
        <f>IF(Proposta!$Y$14="Sim",'Capacidade_de_Pagamento-Temp'!X17,'Capacidade_de_Pagamento-Temp-A'!X17)</f>
        <v>0</v>
      </c>
      <c r="Y17" s="155">
        <f>IF(Proposta!$Y$14="Sim",'Capacidade_de_Pagamento-Temp'!Y17,'Capacidade_de_Pagamento-Temp-A'!Y17)</f>
        <v>0</v>
      </c>
      <c r="Z17" s="155">
        <f>IF(Proposta!$Y$14="Sim",'Capacidade_de_Pagamento-Temp'!Z17,'Capacidade_de_Pagamento-Temp-A'!Z17)</f>
        <v>0</v>
      </c>
      <c r="AA17" s="155">
        <f>IF(Proposta!$Y$14="Sim",'Capacidade_de_Pagamento-Temp'!AA17,'Capacidade_de_Pagamento-Temp-A'!AA17)</f>
        <v>0</v>
      </c>
      <c r="AB17" s="155">
        <f>IF(Proposta!$Y$14="Sim",'Capacidade_de_Pagamento-Temp'!AB17,'Capacidade_de_Pagamento-Temp-A'!AB17)</f>
        <v>0</v>
      </c>
      <c r="AC17" s="155">
        <f>IF(Proposta!$Y$14="Sim",'Capacidade_de_Pagamento-Temp'!AC17,'Capacidade_de_Pagamento-Temp-A'!AC17)</f>
        <v>0</v>
      </c>
      <c r="AD17" s="155">
        <f>IF(Proposta!$Y$14="Sim",'Capacidade_de_Pagamento-Temp'!AD17,'Capacidade_de_Pagamento-Temp-A'!AD17)</f>
        <v>0</v>
      </c>
      <c r="AE17" s="155">
        <f>IF(Proposta!$Y$14="Sim",'Capacidade_de_Pagamento-Temp'!AE17,'Capacidade_de_Pagamento-Temp-A'!AE17)</f>
        <v>0</v>
      </c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spans="1:41" ht="16.5" hidden="1" x14ac:dyDescent="0.2">
      <c r="A18" s="15"/>
      <c r="B18" s="15"/>
      <c r="C18" s="15"/>
      <c r="D18" s="15"/>
      <c r="E18" s="46">
        <v>0</v>
      </c>
      <c r="F18" s="15"/>
      <c r="G18" s="15"/>
      <c r="H18" s="15"/>
      <c r="I18" s="354" t="str">
        <f>"  Encargos Op."&amp;Proposta!I15&amp;" - "&amp;Proposta!J15</f>
        <v xml:space="preserve">  Encargos Op.1 - </v>
      </c>
      <c r="J18" s="298"/>
      <c r="K18" s="274"/>
      <c r="L18" s="154">
        <f>IF(Proposta!$Y$15="Sim",'Capacidade_de_Pagamento-Temp'!L18,'Capacidade_de_Pagamento-Temp-A'!L18)</f>
        <v>0</v>
      </c>
      <c r="M18" s="154">
        <f>IF(Proposta!$Y$15="Sim",'Capacidade_de_Pagamento-Temp'!M18,'Capacidade_de_Pagamento-Temp-A'!M18)</f>
        <v>0</v>
      </c>
      <c r="N18" s="154">
        <f>IF(Proposta!$Y$15="Sim",'Capacidade_de_Pagamento-Temp'!N18,'Capacidade_de_Pagamento-Temp-A'!N18)</f>
        <v>0</v>
      </c>
      <c r="O18" s="154">
        <f>IF(Proposta!$Y$15="Sim",'Capacidade_de_Pagamento-Temp'!O18,'Capacidade_de_Pagamento-Temp-A'!O18)</f>
        <v>47.77</v>
      </c>
      <c r="P18" s="154">
        <f>IF(Proposta!$Y$15="Sim",'Capacidade_de_Pagamento-Temp'!P18,'Capacidade_de_Pagamento-Temp-A'!P18)</f>
        <v>60.01</v>
      </c>
      <c r="Q18" s="154">
        <f>IF(Proposta!$Y$15="Sim",'Capacidade_de_Pagamento-Temp'!Q18,'Capacidade_de_Pagamento-Temp-A'!Q18)</f>
        <v>72.38</v>
      </c>
      <c r="R18" s="154">
        <f>IF(Proposta!$Y$15="Sim",'Capacidade_de_Pagamento-Temp'!R18,'Capacidade_de_Pagamento-Temp-A'!R18)</f>
        <v>84.86</v>
      </c>
      <c r="S18" s="154">
        <f>IF(Proposta!$Y$15="Sim",'Capacidade_de_Pagamento-Temp'!S18,'Capacidade_de_Pagamento-Temp-A'!S18)</f>
        <v>97.48</v>
      </c>
      <c r="T18" s="154">
        <f>IF(Proposta!$Y$15="Sim",'Capacidade_de_Pagamento-Temp'!T18,'Capacidade_de_Pagamento-Temp-A'!T18)</f>
        <v>110.22</v>
      </c>
      <c r="U18" s="154">
        <f>IF(Proposta!$Y$15="Sim",'Capacidade_de_Pagamento-Temp'!U18,'Capacidade_de_Pagamento-Temp-A'!U18)</f>
        <v>123.08</v>
      </c>
      <c r="V18" s="155">
        <f>IF(Proposta!$Y$15="Sim",'Capacidade_de_Pagamento-Temp'!V18,'Capacidade_de_Pagamento-Temp-A'!V18)</f>
        <v>136.08000000000001</v>
      </c>
      <c r="W18" s="155">
        <f>IF(Proposta!$Y$15="Sim",'Capacidade_de_Pagamento-Temp'!W18,'Capacidade_de_Pagamento-Temp-A'!W18)</f>
        <v>149.21</v>
      </c>
      <c r="X18" s="155">
        <f>IF(Proposta!$Y$15="Sim",'Capacidade_de_Pagamento-Temp'!X18,'Capacidade_de_Pagamento-Temp-A'!X18)</f>
        <v>162.46</v>
      </c>
      <c r="Y18" s="155">
        <f>IF(Proposta!$Y$15="Sim",'Capacidade_de_Pagamento-Temp'!Y18,'Capacidade_de_Pagamento-Temp-A'!Y18)</f>
        <v>175.85</v>
      </c>
      <c r="Z18" s="155">
        <f>IF(Proposta!$Y$15="Sim",'Capacidade_de_Pagamento-Temp'!Z18,'Capacidade_de_Pagamento-Temp-A'!Z18)</f>
        <v>189.38</v>
      </c>
      <c r="AA18" s="155">
        <f>IF(Proposta!$Y$15="Sim",'Capacidade_de_Pagamento-Temp'!AA18,'Capacidade_de_Pagamento-Temp-A'!AA18)</f>
        <v>203.03</v>
      </c>
      <c r="AB18" s="155">
        <f>IF(Proposta!$Y$15="Sim",'Capacidade_de_Pagamento-Temp'!AB18,'Capacidade_de_Pagamento-Temp-A'!AB18)</f>
        <v>216.83</v>
      </c>
      <c r="AC18" s="155">
        <f>IF(Proposta!$Y$15="Sim",'Capacidade_de_Pagamento-Temp'!AC18,'Capacidade_de_Pagamento-Temp-A'!AC18)</f>
        <v>230.76</v>
      </c>
      <c r="AD18" s="155">
        <f>IF(Proposta!$Y$15="Sim",'Capacidade_de_Pagamento-Temp'!AD18,'Capacidade_de_Pagamento-Temp-A'!AD18)</f>
        <v>244.83</v>
      </c>
      <c r="AE18" s="155">
        <f>IF(Proposta!$Y$15="Sim",'Capacidade_de_Pagamento-Temp'!AE18,'Capacidade_de_Pagamento-Temp-A'!AE18)</f>
        <v>259.05</v>
      </c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spans="1:41" ht="16.5" hidden="1" x14ac:dyDescent="0.2">
      <c r="A19" s="15"/>
      <c r="B19" s="15"/>
      <c r="C19" s="15"/>
      <c r="D19" s="15"/>
      <c r="E19" s="46">
        <f t="shared" ref="E19:E36" si="2">IF(SUM(L19:AE19)=0,0,1)</f>
        <v>0</v>
      </c>
      <c r="F19" s="15"/>
      <c r="G19" s="15"/>
      <c r="H19" s="15"/>
      <c r="I19" s="158" t="str">
        <f>"  Encargos Op."&amp;Proposta!I16&amp;" - "&amp;Proposta!J16</f>
        <v xml:space="preserve">  Encargos Op.2 - </v>
      </c>
      <c r="J19" s="159"/>
      <c r="K19" s="158"/>
      <c r="L19" s="154">
        <f>IF(Proposta!$Y$16="Sim",'Capacidade_de_Pagamento-Temp'!L19,'Capacidade_de_Pagamento-Temp-A'!L19)</f>
        <v>0</v>
      </c>
      <c r="M19" s="154">
        <f>IF(Proposta!$Y$16="Sim",'Capacidade_de_Pagamento-Temp'!M19,'Capacidade_de_Pagamento-Temp-A'!M19)</f>
        <v>0</v>
      </c>
      <c r="N19" s="154">
        <f>IF(Proposta!$Y$16="Sim",'Capacidade_de_Pagamento-Temp'!N19,'Capacidade_de_Pagamento-Temp-A'!N19)</f>
        <v>0</v>
      </c>
      <c r="O19" s="154">
        <f>IF(Proposta!$Y$16="Sim",'Capacidade_de_Pagamento-Temp'!O19,'Capacidade_de_Pagamento-Temp-A'!O19)</f>
        <v>0</v>
      </c>
      <c r="P19" s="154">
        <f>IF(Proposta!$Y$16="Sim",'Capacidade_de_Pagamento-Temp'!P19,'Capacidade_de_Pagamento-Temp-A'!P19)</f>
        <v>0</v>
      </c>
      <c r="Q19" s="154">
        <f>IF(Proposta!$Y$16="Sim",'Capacidade_de_Pagamento-Temp'!Q19,'Capacidade_de_Pagamento-Temp-A'!Q19)</f>
        <v>0</v>
      </c>
      <c r="R19" s="154">
        <f>IF(Proposta!$Y$16="Sim",'Capacidade_de_Pagamento-Temp'!R19,'Capacidade_de_Pagamento-Temp-A'!R19)</f>
        <v>0</v>
      </c>
      <c r="S19" s="154">
        <f>IF(Proposta!$Y$16="Sim",'Capacidade_de_Pagamento-Temp'!S19,'Capacidade_de_Pagamento-Temp-A'!S19)</f>
        <v>0</v>
      </c>
      <c r="T19" s="154">
        <f>IF(Proposta!$Y$16="Sim",'Capacidade_de_Pagamento-Temp'!T19,'Capacidade_de_Pagamento-Temp-A'!T19)</f>
        <v>0</v>
      </c>
      <c r="U19" s="154">
        <f>IF(Proposta!$Y$16="Sim",'Capacidade_de_Pagamento-Temp'!U19,'Capacidade_de_Pagamento-Temp-A'!U19)</f>
        <v>0</v>
      </c>
      <c r="V19" s="155">
        <f>IF(Proposta!$Y$16="Sim",'Capacidade_de_Pagamento-Temp'!V19,'Capacidade_de_Pagamento-Temp-A'!V19)</f>
        <v>0</v>
      </c>
      <c r="W19" s="155">
        <f>IF(Proposta!$Y$16="Sim",'Capacidade_de_Pagamento-Temp'!W19,'Capacidade_de_Pagamento-Temp-A'!W19)</f>
        <v>0</v>
      </c>
      <c r="X19" s="155">
        <f>IF(Proposta!$Y$16="Sim",'Capacidade_de_Pagamento-Temp'!X19,'Capacidade_de_Pagamento-Temp-A'!X19)</f>
        <v>0</v>
      </c>
      <c r="Y19" s="155">
        <f>IF(Proposta!$Y$16="Sim",'Capacidade_de_Pagamento-Temp'!Y19,'Capacidade_de_Pagamento-Temp-A'!Y19)</f>
        <v>0</v>
      </c>
      <c r="Z19" s="155">
        <f>IF(Proposta!$Y$16="Sim",'Capacidade_de_Pagamento-Temp'!Z19,'Capacidade_de_Pagamento-Temp-A'!Z19)</f>
        <v>0</v>
      </c>
      <c r="AA19" s="155">
        <f>IF(Proposta!$Y$16="Sim",'Capacidade_de_Pagamento-Temp'!AA19,'Capacidade_de_Pagamento-Temp-A'!AA19)</f>
        <v>0</v>
      </c>
      <c r="AB19" s="155">
        <f>IF(Proposta!$Y$16="Sim",'Capacidade_de_Pagamento-Temp'!AB19,'Capacidade_de_Pagamento-Temp-A'!AB19)</f>
        <v>0</v>
      </c>
      <c r="AC19" s="155">
        <f>IF(Proposta!$Y$16="Sim",'Capacidade_de_Pagamento-Temp'!AC19,'Capacidade_de_Pagamento-Temp-A'!AC19)</f>
        <v>0</v>
      </c>
      <c r="AD19" s="155">
        <f>IF(Proposta!$Y$16="Sim",'Capacidade_de_Pagamento-Temp'!AD19,'Capacidade_de_Pagamento-Temp-A'!AD19)</f>
        <v>0</v>
      </c>
      <c r="AE19" s="155">
        <f>IF(Proposta!$Y$16="Sim",'Capacidade_de_Pagamento-Temp'!AE19,'Capacidade_de_Pagamento-Temp-A'!AE19)</f>
        <v>0</v>
      </c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spans="1:41" ht="16.5" hidden="1" x14ac:dyDescent="0.2">
      <c r="A20" s="15"/>
      <c r="B20" s="15"/>
      <c r="C20" s="15"/>
      <c r="D20" s="15"/>
      <c r="E20" s="46">
        <f t="shared" si="2"/>
        <v>0</v>
      </c>
      <c r="F20" s="15"/>
      <c r="G20" s="15"/>
      <c r="H20" s="15"/>
      <c r="I20" s="158" t="str">
        <f>"  Encargos Op."&amp;Proposta!I17&amp;" - "&amp;Proposta!J17</f>
        <v xml:space="preserve">  Encargos Op.3 - </v>
      </c>
      <c r="J20" s="159"/>
      <c r="K20" s="158"/>
      <c r="L20" s="154">
        <f>IF(Proposta!$Y$17="Sim",'Capacidade_de_Pagamento-Temp'!L20,'Capacidade_de_Pagamento-Temp-A'!L20)</f>
        <v>0</v>
      </c>
      <c r="M20" s="154">
        <f>IF(Proposta!$Y$17="Sim",'Capacidade_de_Pagamento-Temp'!M20,'Capacidade_de_Pagamento-Temp-A'!M20)</f>
        <v>0</v>
      </c>
      <c r="N20" s="154">
        <f>IF(Proposta!$Y$17="Sim",'Capacidade_de_Pagamento-Temp'!N20,'Capacidade_de_Pagamento-Temp-A'!N20)</f>
        <v>0</v>
      </c>
      <c r="O20" s="154">
        <f>IF(Proposta!$Y$17="Sim",'Capacidade_de_Pagamento-Temp'!O20,'Capacidade_de_Pagamento-Temp-A'!O20)</f>
        <v>0</v>
      </c>
      <c r="P20" s="154">
        <f>IF(Proposta!$Y$17="Sim",'Capacidade_de_Pagamento-Temp'!P20,'Capacidade_de_Pagamento-Temp-A'!P20)</f>
        <v>0</v>
      </c>
      <c r="Q20" s="154">
        <f>IF(Proposta!$Y$17="Sim",'Capacidade_de_Pagamento-Temp'!Q20,'Capacidade_de_Pagamento-Temp-A'!Q20)</f>
        <v>0</v>
      </c>
      <c r="R20" s="154">
        <f>IF(Proposta!$Y$17="Sim",'Capacidade_de_Pagamento-Temp'!R20,'Capacidade_de_Pagamento-Temp-A'!R20)</f>
        <v>0</v>
      </c>
      <c r="S20" s="154">
        <f>IF(Proposta!$Y$17="Sim",'Capacidade_de_Pagamento-Temp'!S20,'Capacidade_de_Pagamento-Temp-A'!S20)</f>
        <v>0</v>
      </c>
      <c r="T20" s="154">
        <f>IF(Proposta!$Y$17="Sim",'Capacidade_de_Pagamento-Temp'!T20,'Capacidade_de_Pagamento-Temp-A'!T20)</f>
        <v>0</v>
      </c>
      <c r="U20" s="154">
        <f>IF(Proposta!$Y$17="Sim",'Capacidade_de_Pagamento-Temp'!U20,'Capacidade_de_Pagamento-Temp-A'!U20)</f>
        <v>0</v>
      </c>
      <c r="V20" s="155">
        <f>IF(Proposta!$Y$17="Sim",'Capacidade_de_Pagamento-Temp'!V20,'Capacidade_de_Pagamento-Temp-A'!V20)</f>
        <v>0</v>
      </c>
      <c r="W20" s="155">
        <f>IF(Proposta!$Y$17="Sim",'Capacidade_de_Pagamento-Temp'!W20,'Capacidade_de_Pagamento-Temp-A'!W20)</f>
        <v>0</v>
      </c>
      <c r="X20" s="155">
        <f>IF(Proposta!$Y$17="Sim",'Capacidade_de_Pagamento-Temp'!X20,'Capacidade_de_Pagamento-Temp-A'!X20)</f>
        <v>0</v>
      </c>
      <c r="Y20" s="155">
        <f>IF(Proposta!$Y$17="Sim",'Capacidade_de_Pagamento-Temp'!Y20,'Capacidade_de_Pagamento-Temp-A'!Y20)</f>
        <v>0</v>
      </c>
      <c r="Z20" s="155">
        <f>IF(Proposta!$Y$17="Sim",'Capacidade_de_Pagamento-Temp'!Z20,'Capacidade_de_Pagamento-Temp-A'!Z20)</f>
        <v>0</v>
      </c>
      <c r="AA20" s="155">
        <f>IF(Proposta!$Y$17="Sim",'Capacidade_de_Pagamento-Temp'!AA20,'Capacidade_de_Pagamento-Temp-A'!AA20)</f>
        <v>0</v>
      </c>
      <c r="AB20" s="155">
        <f>IF(Proposta!$Y$17="Sim",'Capacidade_de_Pagamento-Temp'!AB20,'Capacidade_de_Pagamento-Temp-A'!AB20)</f>
        <v>0</v>
      </c>
      <c r="AC20" s="155">
        <f>IF(Proposta!$Y$17="Sim",'Capacidade_de_Pagamento-Temp'!AC20,'Capacidade_de_Pagamento-Temp-A'!AC20)</f>
        <v>0</v>
      </c>
      <c r="AD20" s="155">
        <f>IF(Proposta!$Y$17="Sim",'Capacidade_de_Pagamento-Temp'!AD20,'Capacidade_de_Pagamento-Temp-A'!AD20)</f>
        <v>0</v>
      </c>
      <c r="AE20" s="155">
        <f>IF(Proposta!$Y$17="Sim",'Capacidade_de_Pagamento-Temp'!AE20,'Capacidade_de_Pagamento-Temp-A'!AE20)</f>
        <v>0</v>
      </c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spans="1:41" ht="16.5" hidden="1" x14ac:dyDescent="0.2">
      <c r="A21" s="15"/>
      <c r="B21" s="15"/>
      <c r="C21" s="15"/>
      <c r="D21" s="15"/>
      <c r="E21" s="46">
        <f t="shared" si="2"/>
        <v>0</v>
      </c>
      <c r="F21" s="15"/>
      <c r="G21" s="15"/>
      <c r="H21" s="15"/>
      <c r="I21" s="158" t="str">
        <f>"  Encargos Op."&amp;Proposta!I18&amp;" - "&amp;Proposta!J18</f>
        <v xml:space="preserve">  Encargos Op.4 - </v>
      </c>
      <c r="J21" s="159"/>
      <c r="K21" s="158"/>
      <c r="L21" s="154">
        <f>IF(Proposta!$Y$18="Sim",'Capacidade_de_Pagamento-Temp'!L21,'Capacidade_de_Pagamento-Temp-A'!L21)</f>
        <v>0</v>
      </c>
      <c r="M21" s="154">
        <f>IF(Proposta!$Y$18="Sim",'Capacidade_de_Pagamento-Temp'!M21,'Capacidade_de_Pagamento-Temp-A'!M21)</f>
        <v>0</v>
      </c>
      <c r="N21" s="154">
        <f>IF(Proposta!$Y$18="Sim",'Capacidade_de_Pagamento-Temp'!N21,'Capacidade_de_Pagamento-Temp-A'!N21)</f>
        <v>0</v>
      </c>
      <c r="O21" s="154">
        <f>IF(Proposta!$Y$18="Sim",'Capacidade_de_Pagamento-Temp'!O21,'Capacidade_de_Pagamento-Temp-A'!O21)</f>
        <v>0</v>
      </c>
      <c r="P21" s="154">
        <f>IF(Proposta!$Y$18="Sim",'Capacidade_de_Pagamento-Temp'!P21,'Capacidade_de_Pagamento-Temp-A'!P21)</f>
        <v>0</v>
      </c>
      <c r="Q21" s="154">
        <f>IF(Proposta!$Y$18="Sim",'Capacidade_de_Pagamento-Temp'!Q21,'Capacidade_de_Pagamento-Temp-A'!Q21)</f>
        <v>0</v>
      </c>
      <c r="R21" s="154">
        <f>IF(Proposta!$Y$18="Sim",'Capacidade_de_Pagamento-Temp'!R21,'Capacidade_de_Pagamento-Temp-A'!R21)</f>
        <v>0</v>
      </c>
      <c r="S21" s="154">
        <f>IF(Proposta!$Y$18="Sim",'Capacidade_de_Pagamento-Temp'!S21,'Capacidade_de_Pagamento-Temp-A'!S21)</f>
        <v>0</v>
      </c>
      <c r="T21" s="154">
        <f>IF(Proposta!$Y$18="Sim",'Capacidade_de_Pagamento-Temp'!T21,'Capacidade_de_Pagamento-Temp-A'!T21)</f>
        <v>0</v>
      </c>
      <c r="U21" s="154">
        <f>IF(Proposta!$Y$18="Sim",'Capacidade_de_Pagamento-Temp'!U21,'Capacidade_de_Pagamento-Temp-A'!U21)</f>
        <v>0</v>
      </c>
      <c r="V21" s="155">
        <f>IF(Proposta!$Y$18="Sim",'Capacidade_de_Pagamento-Temp'!V21,'Capacidade_de_Pagamento-Temp-A'!V21)</f>
        <v>0</v>
      </c>
      <c r="W21" s="155">
        <f>IF(Proposta!$Y$18="Sim",'Capacidade_de_Pagamento-Temp'!W21,'Capacidade_de_Pagamento-Temp-A'!W21)</f>
        <v>0</v>
      </c>
      <c r="X21" s="155">
        <f>IF(Proposta!$Y$18="Sim",'Capacidade_de_Pagamento-Temp'!X21,'Capacidade_de_Pagamento-Temp-A'!X21)</f>
        <v>0</v>
      </c>
      <c r="Y21" s="155">
        <f>IF(Proposta!$Y$18="Sim",'Capacidade_de_Pagamento-Temp'!Y21,'Capacidade_de_Pagamento-Temp-A'!Y21)</f>
        <v>0</v>
      </c>
      <c r="Z21" s="155">
        <f>IF(Proposta!$Y$18="Sim",'Capacidade_de_Pagamento-Temp'!Z21,'Capacidade_de_Pagamento-Temp-A'!Z21)</f>
        <v>0</v>
      </c>
      <c r="AA21" s="155">
        <f>IF(Proposta!$Y$18="Sim",'Capacidade_de_Pagamento-Temp'!AA21,'Capacidade_de_Pagamento-Temp-A'!AA21)</f>
        <v>0</v>
      </c>
      <c r="AB21" s="155">
        <f>IF(Proposta!$Y$18="Sim",'Capacidade_de_Pagamento-Temp'!AB21,'Capacidade_de_Pagamento-Temp-A'!AB21)</f>
        <v>0</v>
      </c>
      <c r="AC21" s="155">
        <f>IF(Proposta!$Y$18="Sim",'Capacidade_de_Pagamento-Temp'!AC21,'Capacidade_de_Pagamento-Temp-A'!AC21)</f>
        <v>0</v>
      </c>
      <c r="AD21" s="155">
        <f>IF(Proposta!$Y$18="Sim",'Capacidade_de_Pagamento-Temp'!AD21,'Capacidade_de_Pagamento-Temp-A'!AD21)</f>
        <v>0</v>
      </c>
      <c r="AE21" s="155">
        <f>IF(Proposta!$Y$18="Sim",'Capacidade_de_Pagamento-Temp'!AE21,'Capacidade_de_Pagamento-Temp-A'!AE21)</f>
        <v>0</v>
      </c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spans="1:41" ht="16.5" hidden="1" x14ac:dyDescent="0.2">
      <c r="A22" s="15"/>
      <c r="B22" s="15"/>
      <c r="C22" s="15"/>
      <c r="D22" s="15"/>
      <c r="E22" s="46">
        <f t="shared" si="2"/>
        <v>0</v>
      </c>
      <c r="F22" s="15"/>
      <c r="G22" s="15"/>
      <c r="H22" s="15"/>
      <c r="I22" s="158" t="str">
        <f>"  Encargos Op."&amp;Proposta!I19&amp;" - "&amp;Proposta!J19</f>
        <v xml:space="preserve">  Encargos Op.5 - ,</v>
      </c>
      <c r="J22" s="159"/>
      <c r="K22" s="158"/>
      <c r="L22" s="154">
        <f>IF(Proposta!$Y$19="Sim",'Capacidade_de_Pagamento-Temp'!L22,'Capacidade_de_Pagamento-Temp-A'!L22)</f>
        <v>0</v>
      </c>
      <c r="M22" s="154">
        <f>IF(Proposta!$Y$19="Sim",'Capacidade_de_Pagamento-Temp'!M22,'Capacidade_de_Pagamento-Temp-A'!M22)</f>
        <v>0</v>
      </c>
      <c r="N22" s="154">
        <f>IF(Proposta!$Y$19="Sim",'Capacidade_de_Pagamento-Temp'!N22,'Capacidade_de_Pagamento-Temp-A'!N22)</f>
        <v>0</v>
      </c>
      <c r="O22" s="154">
        <f>IF(Proposta!$Y$19="Sim",'Capacidade_de_Pagamento-Temp'!O22,'Capacidade_de_Pagamento-Temp-A'!O22)</f>
        <v>0</v>
      </c>
      <c r="P22" s="154">
        <f>IF(Proposta!$Y$19="Sim",'Capacidade_de_Pagamento-Temp'!P22,'Capacidade_de_Pagamento-Temp-A'!P22)</f>
        <v>0</v>
      </c>
      <c r="Q22" s="154">
        <f>IF(Proposta!$Y$19="Sim",'Capacidade_de_Pagamento-Temp'!Q22,'Capacidade_de_Pagamento-Temp-A'!Q22)</f>
        <v>0</v>
      </c>
      <c r="R22" s="154">
        <f>IF(Proposta!$Y$19="Sim",'Capacidade_de_Pagamento-Temp'!R22,'Capacidade_de_Pagamento-Temp-A'!R22)</f>
        <v>0</v>
      </c>
      <c r="S22" s="154">
        <f>IF(Proposta!$Y$19="Sim",'Capacidade_de_Pagamento-Temp'!S22,'Capacidade_de_Pagamento-Temp-A'!S22)</f>
        <v>0</v>
      </c>
      <c r="T22" s="154">
        <f>IF(Proposta!$Y$19="Sim",'Capacidade_de_Pagamento-Temp'!T22,'Capacidade_de_Pagamento-Temp-A'!T22)</f>
        <v>0</v>
      </c>
      <c r="U22" s="154">
        <f>IF(Proposta!$Y$19="Sim",'Capacidade_de_Pagamento-Temp'!U22,'Capacidade_de_Pagamento-Temp-A'!U22)</f>
        <v>0</v>
      </c>
      <c r="V22" s="155">
        <f>IF(Proposta!$Y$19="Sim",'Capacidade_de_Pagamento-Temp'!V22,'Capacidade_de_Pagamento-Temp-A'!V22)</f>
        <v>0</v>
      </c>
      <c r="W22" s="155">
        <f>IF(Proposta!$Y$19="Sim",'Capacidade_de_Pagamento-Temp'!W22,'Capacidade_de_Pagamento-Temp-A'!W22)</f>
        <v>0</v>
      </c>
      <c r="X22" s="155">
        <f>IF(Proposta!$Y$19="Sim",'Capacidade_de_Pagamento-Temp'!X22,'Capacidade_de_Pagamento-Temp-A'!X22)</f>
        <v>0</v>
      </c>
      <c r="Y22" s="155">
        <f>IF(Proposta!$Y$19="Sim",'Capacidade_de_Pagamento-Temp'!Y22,'Capacidade_de_Pagamento-Temp-A'!Y22)</f>
        <v>0</v>
      </c>
      <c r="Z22" s="155">
        <f>IF(Proposta!$Y$19="Sim",'Capacidade_de_Pagamento-Temp'!Z22,'Capacidade_de_Pagamento-Temp-A'!Z22)</f>
        <v>0</v>
      </c>
      <c r="AA22" s="155">
        <f>IF(Proposta!$Y$19="Sim",'Capacidade_de_Pagamento-Temp'!AA22,'Capacidade_de_Pagamento-Temp-A'!AA22)</f>
        <v>0</v>
      </c>
      <c r="AB22" s="155">
        <f>IF(Proposta!$Y$19="Sim",'Capacidade_de_Pagamento-Temp'!AB22,'Capacidade_de_Pagamento-Temp-A'!AB22)</f>
        <v>0</v>
      </c>
      <c r="AC22" s="155">
        <f>IF(Proposta!$Y$19="Sim",'Capacidade_de_Pagamento-Temp'!AC22,'Capacidade_de_Pagamento-Temp-A'!AC22)</f>
        <v>0</v>
      </c>
      <c r="AD22" s="155">
        <f>IF(Proposta!$Y$19="Sim",'Capacidade_de_Pagamento-Temp'!AD22,'Capacidade_de_Pagamento-Temp-A'!AD22)</f>
        <v>0</v>
      </c>
      <c r="AE22" s="155">
        <f>IF(Proposta!$Y$19="Sim",'Capacidade_de_Pagamento-Temp'!AE22,'Capacidade_de_Pagamento-Temp-A'!AE22)</f>
        <v>0</v>
      </c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spans="1:41" ht="16.5" hidden="1" x14ac:dyDescent="0.2">
      <c r="A23" s="15"/>
      <c r="B23" s="15"/>
      <c r="C23" s="15"/>
      <c r="D23" s="15"/>
      <c r="E23" s="46">
        <f t="shared" si="2"/>
        <v>0</v>
      </c>
      <c r="F23" s="15"/>
      <c r="G23" s="15"/>
      <c r="H23" s="15"/>
      <c r="I23" s="158" t="str">
        <f>"  Encargos Op."&amp;Proposta!I20&amp;" - "&amp;Proposta!J20</f>
        <v xml:space="preserve">  Encargos Op.6 - </v>
      </c>
      <c r="J23" s="159"/>
      <c r="K23" s="158"/>
      <c r="L23" s="154">
        <f>IF(Proposta!$Y$20="Sim",'Capacidade_de_Pagamento-Temp'!L23,'Capacidade_de_Pagamento-Temp-A'!L23)</f>
        <v>0</v>
      </c>
      <c r="M23" s="154">
        <f>IF(Proposta!$Y$20="Sim",'Capacidade_de_Pagamento-Temp'!M23,'Capacidade_de_Pagamento-Temp-A'!M23)</f>
        <v>0</v>
      </c>
      <c r="N23" s="154">
        <f>IF(Proposta!$Y$20="Sim",'Capacidade_de_Pagamento-Temp'!N23,'Capacidade_de_Pagamento-Temp-A'!N23)</f>
        <v>0</v>
      </c>
      <c r="O23" s="154">
        <f>IF(Proposta!$Y$20="Sim",'Capacidade_de_Pagamento-Temp'!O23,'Capacidade_de_Pagamento-Temp-A'!O23)</f>
        <v>0</v>
      </c>
      <c r="P23" s="154">
        <f>IF(Proposta!$Y$20="Sim",'Capacidade_de_Pagamento-Temp'!P23,'Capacidade_de_Pagamento-Temp-A'!P23)</f>
        <v>0</v>
      </c>
      <c r="Q23" s="154">
        <f>IF(Proposta!$Y$20="Sim",'Capacidade_de_Pagamento-Temp'!Q23,'Capacidade_de_Pagamento-Temp-A'!Q23)</f>
        <v>0</v>
      </c>
      <c r="R23" s="154">
        <f>IF(Proposta!$Y$20="Sim",'Capacidade_de_Pagamento-Temp'!R23,'Capacidade_de_Pagamento-Temp-A'!R23)</f>
        <v>0</v>
      </c>
      <c r="S23" s="154">
        <f>IF(Proposta!$Y$20="Sim",'Capacidade_de_Pagamento-Temp'!S23,'Capacidade_de_Pagamento-Temp-A'!S23)</f>
        <v>0</v>
      </c>
      <c r="T23" s="154">
        <f>IF(Proposta!$Y$20="Sim",'Capacidade_de_Pagamento-Temp'!T23,'Capacidade_de_Pagamento-Temp-A'!T23)</f>
        <v>0</v>
      </c>
      <c r="U23" s="154">
        <f>IF(Proposta!$Y$20="Sim",'Capacidade_de_Pagamento-Temp'!U23,'Capacidade_de_Pagamento-Temp-A'!U23)</f>
        <v>0</v>
      </c>
      <c r="V23" s="155">
        <f>IF(Proposta!$Y$20="Sim",'Capacidade_de_Pagamento-Temp'!V23,'Capacidade_de_Pagamento-Temp-A'!V23)</f>
        <v>0</v>
      </c>
      <c r="W23" s="155">
        <f>IF(Proposta!$Y$20="Sim",'Capacidade_de_Pagamento-Temp'!W23,'Capacidade_de_Pagamento-Temp-A'!W23)</f>
        <v>0</v>
      </c>
      <c r="X23" s="155">
        <f>IF(Proposta!$Y$20="Sim",'Capacidade_de_Pagamento-Temp'!X23,'Capacidade_de_Pagamento-Temp-A'!X23)</f>
        <v>0</v>
      </c>
      <c r="Y23" s="155">
        <f>IF(Proposta!$Y$20="Sim",'Capacidade_de_Pagamento-Temp'!Y23,'Capacidade_de_Pagamento-Temp-A'!Y23)</f>
        <v>0</v>
      </c>
      <c r="Z23" s="155">
        <f>IF(Proposta!$Y$20="Sim",'Capacidade_de_Pagamento-Temp'!Z23,'Capacidade_de_Pagamento-Temp-A'!Z23)</f>
        <v>0</v>
      </c>
      <c r="AA23" s="155">
        <f>IF(Proposta!$Y$20="Sim",'Capacidade_de_Pagamento-Temp'!AA23,'Capacidade_de_Pagamento-Temp-A'!AA23)</f>
        <v>0</v>
      </c>
      <c r="AB23" s="155">
        <f>IF(Proposta!$Y$20="Sim",'Capacidade_de_Pagamento-Temp'!AB23,'Capacidade_de_Pagamento-Temp-A'!AB23)</f>
        <v>0</v>
      </c>
      <c r="AC23" s="155">
        <f>IF(Proposta!$Y$20="Sim",'Capacidade_de_Pagamento-Temp'!AC23,'Capacidade_de_Pagamento-Temp-A'!AC23)</f>
        <v>0</v>
      </c>
      <c r="AD23" s="155">
        <f>IF(Proposta!$Y$20="Sim",'Capacidade_de_Pagamento-Temp'!AD23,'Capacidade_de_Pagamento-Temp-A'!AD23)</f>
        <v>0</v>
      </c>
      <c r="AE23" s="155">
        <f>IF(Proposta!$Y$20="Sim",'Capacidade_de_Pagamento-Temp'!AE23,'Capacidade_de_Pagamento-Temp-A'!AE23)</f>
        <v>0</v>
      </c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spans="1:41" ht="16.5" hidden="1" x14ac:dyDescent="0.2">
      <c r="A24" s="15"/>
      <c r="B24" s="15"/>
      <c r="C24" s="15"/>
      <c r="D24" s="15"/>
      <c r="E24" s="46">
        <f t="shared" si="2"/>
        <v>0</v>
      </c>
      <c r="F24" s="15"/>
      <c r="G24" s="15"/>
      <c r="H24" s="15"/>
      <c r="I24" s="158" t="str">
        <f>"  Encargos Op."&amp;Proposta!I21&amp;" - "&amp;Proposta!J21</f>
        <v xml:space="preserve">  Encargos Op.7 - </v>
      </c>
      <c r="J24" s="159"/>
      <c r="K24" s="158"/>
      <c r="L24" s="154">
        <f>IF(Proposta!$Y$21="Sim",'Capacidade_de_Pagamento-Temp'!L24,'Capacidade_de_Pagamento-Temp-A'!L24)</f>
        <v>0</v>
      </c>
      <c r="M24" s="154">
        <f>IF(Proposta!$Y$21="Sim",'Capacidade_de_Pagamento-Temp'!M24,'Capacidade_de_Pagamento-Temp-A'!M24)</f>
        <v>0</v>
      </c>
      <c r="N24" s="154">
        <f>IF(Proposta!$Y$21="Sim",'Capacidade_de_Pagamento-Temp'!N24,'Capacidade_de_Pagamento-Temp-A'!N24)</f>
        <v>0</v>
      </c>
      <c r="O24" s="154">
        <f>IF(Proposta!$Y$21="Sim",'Capacidade_de_Pagamento-Temp'!O24,'Capacidade_de_Pagamento-Temp-A'!O24)</f>
        <v>0</v>
      </c>
      <c r="P24" s="154">
        <f>IF(Proposta!$Y$21="Sim",'Capacidade_de_Pagamento-Temp'!P24,'Capacidade_de_Pagamento-Temp-A'!P24)</f>
        <v>0</v>
      </c>
      <c r="Q24" s="154">
        <f>IF(Proposta!$Y$21="Sim",'Capacidade_de_Pagamento-Temp'!Q24,'Capacidade_de_Pagamento-Temp-A'!Q24)</f>
        <v>0</v>
      </c>
      <c r="R24" s="154">
        <f>IF(Proposta!$Y$21="Sim",'Capacidade_de_Pagamento-Temp'!R24,'Capacidade_de_Pagamento-Temp-A'!R24)</f>
        <v>0</v>
      </c>
      <c r="S24" s="154">
        <f>IF(Proposta!$Y$21="Sim",'Capacidade_de_Pagamento-Temp'!S24,'Capacidade_de_Pagamento-Temp-A'!S24)</f>
        <v>0</v>
      </c>
      <c r="T24" s="154">
        <f>IF(Proposta!$Y$21="Sim",'Capacidade_de_Pagamento-Temp'!T24,'Capacidade_de_Pagamento-Temp-A'!T24)</f>
        <v>0</v>
      </c>
      <c r="U24" s="154">
        <f>IF(Proposta!$Y$21="Sim",'Capacidade_de_Pagamento-Temp'!U24,'Capacidade_de_Pagamento-Temp-A'!U24)</f>
        <v>0</v>
      </c>
      <c r="V24" s="155">
        <f>IF(Proposta!$Y$21="Sim",'Capacidade_de_Pagamento-Temp'!V24,'Capacidade_de_Pagamento-Temp-A'!V24)</f>
        <v>0</v>
      </c>
      <c r="W24" s="155">
        <f>IF(Proposta!$Y$21="Sim",'Capacidade_de_Pagamento-Temp'!W24,'Capacidade_de_Pagamento-Temp-A'!W24)</f>
        <v>0</v>
      </c>
      <c r="X24" s="155">
        <f>IF(Proposta!$Y$21="Sim",'Capacidade_de_Pagamento-Temp'!X24,'Capacidade_de_Pagamento-Temp-A'!X24)</f>
        <v>0</v>
      </c>
      <c r="Y24" s="155">
        <f>IF(Proposta!$Y$21="Sim",'Capacidade_de_Pagamento-Temp'!Y24,'Capacidade_de_Pagamento-Temp-A'!Y24)</f>
        <v>0</v>
      </c>
      <c r="Z24" s="155">
        <f>IF(Proposta!$Y$21="Sim",'Capacidade_de_Pagamento-Temp'!Z24,'Capacidade_de_Pagamento-Temp-A'!Z24)</f>
        <v>0</v>
      </c>
      <c r="AA24" s="155">
        <f>IF(Proposta!$Y$21="Sim",'Capacidade_de_Pagamento-Temp'!AA24,'Capacidade_de_Pagamento-Temp-A'!AA24)</f>
        <v>0</v>
      </c>
      <c r="AB24" s="155">
        <f>IF(Proposta!$Y$21="Sim",'Capacidade_de_Pagamento-Temp'!AB24,'Capacidade_de_Pagamento-Temp-A'!AB24)</f>
        <v>0</v>
      </c>
      <c r="AC24" s="155">
        <f>IF(Proposta!$Y$21="Sim",'Capacidade_de_Pagamento-Temp'!AC24,'Capacidade_de_Pagamento-Temp-A'!AC24)</f>
        <v>0</v>
      </c>
      <c r="AD24" s="155">
        <f>IF(Proposta!$Y$21="Sim",'Capacidade_de_Pagamento-Temp'!AD24,'Capacidade_de_Pagamento-Temp-A'!AD24)</f>
        <v>0</v>
      </c>
      <c r="AE24" s="155">
        <f>IF(Proposta!$Y$21="Sim",'Capacidade_de_Pagamento-Temp'!AE24,'Capacidade_de_Pagamento-Temp-A'!AE24)</f>
        <v>0</v>
      </c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spans="1:41" ht="16.5" hidden="1" x14ac:dyDescent="0.2">
      <c r="A25" s="15"/>
      <c r="B25" s="15"/>
      <c r="C25" s="15"/>
      <c r="D25" s="15"/>
      <c r="E25" s="46">
        <f t="shared" si="2"/>
        <v>0</v>
      </c>
      <c r="F25" s="15"/>
      <c r="G25" s="15"/>
      <c r="H25" s="15"/>
      <c r="I25" s="158" t="str">
        <f>"  Encargos Op."&amp;Proposta!I22&amp;" - "&amp;Proposta!J22</f>
        <v xml:space="preserve">  Encargos Op.8 - </v>
      </c>
      <c r="J25" s="159"/>
      <c r="K25" s="158"/>
      <c r="L25" s="154">
        <f>IF(Proposta!$Y$22="Sim",'Capacidade_de_Pagamento-Temp'!L25,'Capacidade_de_Pagamento-Temp-A'!L25)</f>
        <v>0</v>
      </c>
      <c r="M25" s="154">
        <f>IF(Proposta!$Y$22="Sim",'Capacidade_de_Pagamento-Temp'!M25,'Capacidade_de_Pagamento-Temp-A'!M25)</f>
        <v>0</v>
      </c>
      <c r="N25" s="154">
        <f>IF(Proposta!$Y$22="Sim",'Capacidade_de_Pagamento-Temp'!N25,'Capacidade_de_Pagamento-Temp-A'!N25)</f>
        <v>0</v>
      </c>
      <c r="O25" s="154">
        <f>IF(Proposta!$Y$22="Sim",'Capacidade_de_Pagamento-Temp'!O25,'Capacidade_de_Pagamento-Temp-A'!O25)</f>
        <v>0</v>
      </c>
      <c r="P25" s="154">
        <f>IF(Proposta!$Y$22="Sim",'Capacidade_de_Pagamento-Temp'!P25,'Capacidade_de_Pagamento-Temp-A'!P25)</f>
        <v>0</v>
      </c>
      <c r="Q25" s="154">
        <f>IF(Proposta!$Y$22="Sim",'Capacidade_de_Pagamento-Temp'!Q25,'Capacidade_de_Pagamento-Temp-A'!Q25)</f>
        <v>0</v>
      </c>
      <c r="R25" s="154">
        <f>IF(Proposta!$Y$22="Sim",'Capacidade_de_Pagamento-Temp'!R25,'Capacidade_de_Pagamento-Temp-A'!R25)</f>
        <v>0</v>
      </c>
      <c r="S25" s="154">
        <f>IF(Proposta!$Y$22="Sim",'Capacidade_de_Pagamento-Temp'!S25,'Capacidade_de_Pagamento-Temp-A'!S25)</f>
        <v>0</v>
      </c>
      <c r="T25" s="154">
        <f>IF(Proposta!$Y$22="Sim",'Capacidade_de_Pagamento-Temp'!T25,'Capacidade_de_Pagamento-Temp-A'!T25)</f>
        <v>0</v>
      </c>
      <c r="U25" s="154">
        <f>IF(Proposta!$Y$22="Sim",'Capacidade_de_Pagamento-Temp'!U25,'Capacidade_de_Pagamento-Temp-A'!U25)</f>
        <v>0</v>
      </c>
      <c r="V25" s="155">
        <f>IF(Proposta!$Y$22="Sim",'Capacidade_de_Pagamento-Temp'!V25,'Capacidade_de_Pagamento-Temp-A'!V25)</f>
        <v>0</v>
      </c>
      <c r="W25" s="155">
        <f>IF(Proposta!$Y$22="Sim",'Capacidade_de_Pagamento-Temp'!W25,'Capacidade_de_Pagamento-Temp-A'!W25)</f>
        <v>0</v>
      </c>
      <c r="X25" s="155">
        <f>IF(Proposta!$Y$22="Sim",'Capacidade_de_Pagamento-Temp'!X25,'Capacidade_de_Pagamento-Temp-A'!X25)</f>
        <v>0</v>
      </c>
      <c r="Y25" s="155">
        <f>IF(Proposta!$Y$22="Sim",'Capacidade_de_Pagamento-Temp'!Y25,'Capacidade_de_Pagamento-Temp-A'!Y25)</f>
        <v>0</v>
      </c>
      <c r="Z25" s="155">
        <f>IF(Proposta!$Y$22="Sim",'Capacidade_de_Pagamento-Temp'!Z25,'Capacidade_de_Pagamento-Temp-A'!Z25)</f>
        <v>0</v>
      </c>
      <c r="AA25" s="155">
        <f>IF(Proposta!$Y$22="Sim",'Capacidade_de_Pagamento-Temp'!AA25,'Capacidade_de_Pagamento-Temp-A'!AA25)</f>
        <v>0</v>
      </c>
      <c r="AB25" s="155">
        <f>IF(Proposta!$Y$22="Sim",'Capacidade_de_Pagamento-Temp'!AB25,'Capacidade_de_Pagamento-Temp-A'!AB25)</f>
        <v>0</v>
      </c>
      <c r="AC25" s="155">
        <f>IF(Proposta!$Y$22="Sim",'Capacidade_de_Pagamento-Temp'!AC25,'Capacidade_de_Pagamento-Temp-A'!AC25)</f>
        <v>0</v>
      </c>
      <c r="AD25" s="155">
        <f>IF(Proposta!$Y$22="Sim",'Capacidade_de_Pagamento-Temp'!AD25,'Capacidade_de_Pagamento-Temp-A'!AD25)</f>
        <v>0</v>
      </c>
      <c r="AE25" s="155">
        <f>IF(Proposta!$Y$22="Sim",'Capacidade_de_Pagamento-Temp'!AE25,'Capacidade_de_Pagamento-Temp-A'!AE25)</f>
        <v>0</v>
      </c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spans="1:41" ht="16.5" hidden="1" x14ac:dyDescent="0.2">
      <c r="A26" s="15"/>
      <c r="B26" s="15"/>
      <c r="C26" s="15"/>
      <c r="D26" s="15"/>
      <c r="E26" s="46">
        <f t="shared" si="2"/>
        <v>0</v>
      </c>
      <c r="F26" s="15"/>
      <c r="G26" s="15"/>
      <c r="H26" s="15"/>
      <c r="I26" s="158" t="str">
        <f>"  Encargos Op."&amp;Proposta!I23&amp;" - "&amp;Proposta!J23</f>
        <v xml:space="preserve">  Encargos Op.9 - </v>
      </c>
      <c r="J26" s="159"/>
      <c r="K26" s="158"/>
      <c r="L26" s="154">
        <f>IF(Proposta!$Y$23="Sim",'Capacidade_de_Pagamento-Temp'!L26,'Capacidade_de_Pagamento-Temp-A'!L26)</f>
        <v>0</v>
      </c>
      <c r="M26" s="154">
        <f>IF(Proposta!$Y$23="Sim",'Capacidade_de_Pagamento-Temp'!M26,'Capacidade_de_Pagamento-Temp-A'!M26)</f>
        <v>0</v>
      </c>
      <c r="N26" s="154">
        <f>IF(Proposta!$Y$23="Sim",'Capacidade_de_Pagamento-Temp'!N26,'Capacidade_de_Pagamento-Temp-A'!N26)</f>
        <v>0</v>
      </c>
      <c r="O26" s="154">
        <f>IF(Proposta!$Y$23="Sim",'Capacidade_de_Pagamento-Temp'!O26,'Capacidade_de_Pagamento-Temp-A'!O26)</f>
        <v>0</v>
      </c>
      <c r="P26" s="154">
        <f>IF(Proposta!$Y$23="Sim",'Capacidade_de_Pagamento-Temp'!P26,'Capacidade_de_Pagamento-Temp-A'!P26)</f>
        <v>0</v>
      </c>
      <c r="Q26" s="154">
        <f>IF(Proposta!$Y$23="Sim",'Capacidade_de_Pagamento-Temp'!Q26,'Capacidade_de_Pagamento-Temp-A'!Q26)</f>
        <v>0</v>
      </c>
      <c r="R26" s="154">
        <f>IF(Proposta!$Y$23="Sim",'Capacidade_de_Pagamento-Temp'!R26,'Capacidade_de_Pagamento-Temp-A'!R26)</f>
        <v>0</v>
      </c>
      <c r="S26" s="154">
        <f>IF(Proposta!$Y$23="Sim",'Capacidade_de_Pagamento-Temp'!S26,'Capacidade_de_Pagamento-Temp-A'!S26)</f>
        <v>0</v>
      </c>
      <c r="T26" s="154">
        <f>IF(Proposta!$Y$23="Sim",'Capacidade_de_Pagamento-Temp'!T26,'Capacidade_de_Pagamento-Temp-A'!T26)</f>
        <v>0</v>
      </c>
      <c r="U26" s="154">
        <f>IF(Proposta!$Y$23="Sim",'Capacidade_de_Pagamento-Temp'!U26,'Capacidade_de_Pagamento-Temp-A'!U26)</f>
        <v>0</v>
      </c>
      <c r="V26" s="155">
        <f>IF(Proposta!$Y$23="Sim",'Capacidade_de_Pagamento-Temp'!V26,'Capacidade_de_Pagamento-Temp-A'!V26)</f>
        <v>0</v>
      </c>
      <c r="W26" s="155">
        <f>IF(Proposta!$Y$23="Sim",'Capacidade_de_Pagamento-Temp'!W26,'Capacidade_de_Pagamento-Temp-A'!W26)</f>
        <v>0</v>
      </c>
      <c r="X26" s="155">
        <f>IF(Proposta!$Y$23="Sim",'Capacidade_de_Pagamento-Temp'!X26,'Capacidade_de_Pagamento-Temp-A'!X26)</f>
        <v>0</v>
      </c>
      <c r="Y26" s="155">
        <f>IF(Proposta!$Y$23="Sim",'Capacidade_de_Pagamento-Temp'!Y26,'Capacidade_de_Pagamento-Temp-A'!Y26)</f>
        <v>0</v>
      </c>
      <c r="Z26" s="155">
        <f>IF(Proposta!$Y$23="Sim",'Capacidade_de_Pagamento-Temp'!Z26,'Capacidade_de_Pagamento-Temp-A'!Z26)</f>
        <v>0</v>
      </c>
      <c r="AA26" s="155">
        <f>IF(Proposta!$Y$23="Sim",'Capacidade_de_Pagamento-Temp'!AA26,'Capacidade_de_Pagamento-Temp-A'!AA26)</f>
        <v>0</v>
      </c>
      <c r="AB26" s="155">
        <f>IF(Proposta!$Y$23="Sim",'Capacidade_de_Pagamento-Temp'!AB26,'Capacidade_de_Pagamento-Temp-A'!AB26)</f>
        <v>0</v>
      </c>
      <c r="AC26" s="155">
        <f>IF(Proposta!$Y$23="Sim",'Capacidade_de_Pagamento-Temp'!AC26,'Capacidade_de_Pagamento-Temp-A'!AC26)</f>
        <v>0</v>
      </c>
      <c r="AD26" s="155">
        <f>IF(Proposta!$Y$23="Sim",'Capacidade_de_Pagamento-Temp'!AD26,'Capacidade_de_Pagamento-Temp-A'!AD26)</f>
        <v>0</v>
      </c>
      <c r="AE26" s="155">
        <f>IF(Proposta!$Y$23="Sim",'Capacidade_de_Pagamento-Temp'!AE26,'Capacidade_de_Pagamento-Temp-A'!AE26)</f>
        <v>0</v>
      </c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spans="1:41" ht="16.5" hidden="1" x14ac:dyDescent="0.2">
      <c r="A27" s="15"/>
      <c r="B27" s="15"/>
      <c r="C27" s="15"/>
      <c r="D27" s="15"/>
      <c r="E27" s="46">
        <f t="shared" si="2"/>
        <v>0</v>
      </c>
      <c r="F27" s="15"/>
      <c r="G27" s="15"/>
      <c r="H27" s="15"/>
      <c r="I27" s="158" t="str">
        <f>"  Encargos Op."&amp;Proposta!I24&amp;" - "&amp;Proposta!J24</f>
        <v xml:space="preserve">  Encargos Op.10 - </v>
      </c>
      <c r="J27" s="159"/>
      <c r="K27" s="158"/>
      <c r="L27" s="154">
        <f>IF(Proposta!$Y$24="Sim",'Capacidade_de_Pagamento-Temp'!L27,'Capacidade_de_Pagamento-Temp-A'!L27)</f>
        <v>0</v>
      </c>
      <c r="M27" s="154">
        <f>IF(Proposta!$Y$24="Sim",'Capacidade_de_Pagamento-Temp'!M27,'Capacidade_de_Pagamento-Temp-A'!M27)</f>
        <v>0</v>
      </c>
      <c r="N27" s="154">
        <f>IF(Proposta!$Y$24="Sim",'Capacidade_de_Pagamento-Temp'!N27,'Capacidade_de_Pagamento-Temp-A'!N27)</f>
        <v>0</v>
      </c>
      <c r="O27" s="154">
        <f>IF(Proposta!$Y$24="Sim",'Capacidade_de_Pagamento-Temp'!O27,'Capacidade_de_Pagamento-Temp-A'!O27)</f>
        <v>0</v>
      </c>
      <c r="P27" s="154">
        <f>IF(Proposta!$Y$24="Sim",'Capacidade_de_Pagamento-Temp'!P27,'Capacidade_de_Pagamento-Temp-A'!P27)</f>
        <v>0</v>
      </c>
      <c r="Q27" s="154">
        <f>IF(Proposta!$Y$24="Sim",'Capacidade_de_Pagamento-Temp'!Q27,'Capacidade_de_Pagamento-Temp-A'!Q27)</f>
        <v>0</v>
      </c>
      <c r="R27" s="154">
        <f>IF(Proposta!$Y$24="Sim",'Capacidade_de_Pagamento-Temp'!R27,'Capacidade_de_Pagamento-Temp-A'!R27)</f>
        <v>0</v>
      </c>
      <c r="S27" s="154">
        <f>IF(Proposta!$Y$24="Sim",'Capacidade_de_Pagamento-Temp'!S27,'Capacidade_de_Pagamento-Temp-A'!S27)</f>
        <v>0</v>
      </c>
      <c r="T27" s="154">
        <f>IF(Proposta!$Y$24="Sim",'Capacidade_de_Pagamento-Temp'!T27,'Capacidade_de_Pagamento-Temp-A'!T27)</f>
        <v>0</v>
      </c>
      <c r="U27" s="154">
        <f>IF(Proposta!$Y$24="Sim",'Capacidade_de_Pagamento-Temp'!U27,'Capacidade_de_Pagamento-Temp-A'!U27)</f>
        <v>0</v>
      </c>
      <c r="V27" s="155">
        <f>IF(Proposta!$Y$24="Sim",'Capacidade_de_Pagamento-Temp'!V27,'Capacidade_de_Pagamento-Temp-A'!V27)</f>
        <v>0</v>
      </c>
      <c r="W27" s="155">
        <f>IF(Proposta!$Y$24="Sim",'Capacidade_de_Pagamento-Temp'!W27,'Capacidade_de_Pagamento-Temp-A'!W27)</f>
        <v>0</v>
      </c>
      <c r="X27" s="155">
        <f>IF(Proposta!$Y$24="Sim",'Capacidade_de_Pagamento-Temp'!X27,'Capacidade_de_Pagamento-Temp-A'!X27)</f>
        <v>0</v>
      </c>
      <c r="Y27" s="155">
        <f>IF(Proposta!$Y$24="Sim",'Capacidade_de_Pagamento-Temp'!Y27,'Capacidade_de_Pagamento-Temp-A'!Y27)</f>
        <v>0</v>
      </c>
      <c r="Z27" s="155">
        <f>IF(Proposta!$Y$24="Sim",'Capacidade_de_Pagamento-Temp'!Z27,'Capacidade_de_Pagamento-Temp-A'!Z27)</f>
        <v>0</v>
      </c>
      <c r="AA27" s="155">
        <f>IF(Proposta!$Y$24="Sim",'Capacidade_de_Pagamento-Temp'!AA27,'Capacidade_de_Pagamento-Temp-A'!AA27)</f>
        <v>0</v>
      </c>
      <c r="AB27" s="155">
        <f>IF(Proposta!$Y$24="Sim",'Capacidade_de_Pagamento-Temp'!AB27,'Capacidade_de_Pagamento-Temp-A'!AB27)</f>
        <v>0</v>
      </c>
      <c r="AC27" s="155">
        <f>IF(Proposta!$Y$24="Sim",'Capacidade_de_Pagamento-Temp'!AC27,'Capacidade_de_Pagamento-Temp-A'!AC27)</f>
        <v>0</v>
      </c>
      <c r="AD27" s="155">
        <f>IF(Proposta!$Y$24="Sim",'Capacidade_de_Pagamento-Temp'!AD27,'Capacidade_de_Pagamento-Temp-A'!AD27)</f>
        <v>0</v>
      </c>
      <c r="AE27" s="155">
        <f>IF(Proposta!$Y$24="Sim",'Capacidade_de_Pagamento-Temp'!AE27,'Capacidade_de_Pagamento-Temp-A'!AE27)</f>
        <v>0</v>
      </c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1" ht="16.5" hidden="1" x14ac:dyDescent="0.2">
      <c r="A28" s="15"/>
      <c r="B28" s="15"/>
      <c r="C28" s="15"/>
      <c r="D28" s="15"/>
      <c r="E28" s="46">
        <f t="shared" si="2"/>
        <v>0</v>
      </c>
      <c r="F28" s="15"/>
      <c r="G28" s="15"/>
      <c r="H28" s="15"/>
      <c r="I28" s="158" t="str">
        <f>"  Encargos Op."&amp;Proposta!I25&amp;" - "&amp;Proposta!J25</f>
        <v xml:space="preserve">  Encargos Op.11 - </v>
      </c>
      <c r="J28" s="159"/>
      <c r="K28" s="158"/>
      <c r="L28" s="154">
        <f>IF(Proposta!$Y$25="Sim",'Capacidade_de_Pagamento-Temp'!L28,'Capacidade_de_Pagamento-Temp-A'!L28)</f>
        <v>0</v>
      </c>
      <c r="M28" s="154">
        <f>IF(Proposta!$Y$25="Sim",'Capacidade_de_Pagamento-Temp'!M28,'Capacidade_de_Pagamento-Temp-A'!M28)</f>
        <v>0</v>
      </c>
      <c r="N28" s="154">
        <f>IF(Proposta!$Y$25="Sim",'Capacidade_de_Pagamento-Temp'!N28,'Capacidade_de_Pagamento-Temp-A'!N28)</f>
        <v>0</v>
      </c>
      <c r="O28" s="154">
        <f>IF(Proposta!$Y$25="Sim",'Capacidade_de_Pagamento-Temp'!O28,'Capacidade_de_Pagamento-Temp-A'!O28)</f>
        <v>0</v>
      </c>
      <c r="P28" s="154">
        <f>IF(Proposta!$Y$25="Sim",'Capacidade_de_Pagamento-Temp'!P28,'Capacidade_de_Pagamento-Temp-A'!P28)</f>
        <v>0</v>
      </c>
      <c r="Q28" s="154">
        <f>IF(Proposta!$Y$25="Sim",'Capacidade_de_Pagamento-Temp'!Q28,'Capacidade_de_Pagamento-Temp-A'!Q28)</f>
        <v>0</v>
      </c>
      <c r="R28" s="154">
        <f>IF(Proposta!$Y$25="Sim",'Capacidade_de_Pagamento-Temp'!R28,'Capacidade_de_Pagamento-Temp-A'!R28)</f>
        <v>0</v>
      </c>
      <c r="S28" s="154">
        <f>IF(Proposta!$Y$25="Sim",'Capacidade_de_Pagamento-Temp'!S28,'Capacidade_de_Pagamento-Temp-A'!S28)</f>
        <v>0</v>
      </c>
      <c r="T28" s="154">
        <f>IF(Proposta!$Y$25="Sim",'Capacidade_de_Pagamento-Temp'!T28,'Capacidade_de_Pagamento-Temp-A'!T28)</f>
        <v>0</v>
      </c>
      <c r="U28" s="154">
        <f>IF(Proposta!$Y$25="Sim",'Capacidade_de_Pagamento-Temp'!U28,'Capacidade_de_Pagamento-Temp-A'!U28)</f>
        <v>0</v>
      </c>
      <c r="V28" s="155">
        <f>IF(Proposta!$Y$25="Sim",'Capacidade_de_Pagamento-Temp'!V28,'Capacidade_de_Pagamento-Temp-A'!V28)</f>
        <v>0</v>
      </c>
      <c r="W28" s="155">
        <f>IF(Proposta!$Y$25="Sim",'Capacidade_de_Pagamento-Temp'!W28,'Capacidade_de_Pagamento-Temp-A'!W28)</f>
        <v>0</v>
      </c>
      <c r="X28" s="155">
        <f>IF(Proposta!$Y$25="Sim",'Capacidade_de_Pagamento-Temp'!X28,'Capacidade_de_Pagamento-Temp-A'!X28)</f>
        <v>0</v>
      </c>
      <c r="Y28" s="155">
        <f>IF(Proposta!$Y$25="Sim",'Capacidade_de_Pagamento-Temp'!Y28,'Capacidade_de_Pagamento-Temp-A'!Y28)</f>
        <v>0</v>
      </c>
      <c r="Z28" s="155">
        <f>IF(Proposta!$Y$25="Sim",'Capacidade_de_Pagamento-Temp'!Z28,'Capacidade_de_Pagamento-Temp-A'!Z28)</f>
        <v>0</v>
      </c>
      <c r="AA28" s="155">
        <f>IF(Proposta!$Y$25="Sim",'Capacidade_de_Pagamento-Temp'!AA28,'Capacidade_de_Pagamento-Temp-A'!AA28)</f>
        <v>0</v>
      </c>
      <c r="AB28" s="155">
        <f>IF(Proposta!$Y$25="Sim",'Capacidade_de_Pagamento-Temp'!AB28,'Capacidade_de_Pagamento-Temp-A'!AB28)</f>
        <v>0</v>
      </c>
      <c r="AC28" s="155">
        <f>IF(Proposta!$Y$25="Sim",'Capacidade_de_Pagamento-Temp'!AC28,'Capacidade_de_Pagamento-Temp-A'!AC28)</f>
        <v>0</v>
      </c>
      <c r="AD28" s="155">
        <f>IF(Proposta!$Y$25="Sim",'Capacidade_de_Pagamento-Temp'!AD28,'Capacidade_de_Pagamento-Temp-A'!AD28)</f>
        <v>0</v>
      </c>
      <c r="AE28" s="155">
        <f>IF(Proposta!$Y$25="Sim",'Capacidade_de_Pagamento-Temp'!AE28,'Capacidade_de_Pagamento-Temp-A'!AE28)</f>
        <v>0</v>
      </c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1" ht="16.5" hidden="1" x14ac:dyDescent="0.2">
      <c r="A29" s="15"/>
      <c r="B29" s="15"/>
      <c r="C29" s="15"/>
      <c r="D29" s="15"/>
      <c r="E29" s="46">
        <f t="shared" si="2"/>
        <v>0</v>
      </c>
      <c r="F29" s="15"/>
      <c r="G29" s="15"/>
      <c r="H29" s="15"/>
      <c r="I29" s="158" t="str">
        <f>"  Encargos Op."&amp;Proposta!I26&amp;" - "&amp;Proposta!J26</f>
        <v xml:space="preserve">  Encargos Op.12 - </v>
      </c>
      <c r="J29" s="159"/>
      <c r="K29" s="158"/>
      <c r="L29" s="154">
        <f>IF(Proposta!$Y$26="Sim",'Capacidade_de_Pagamento-Temp'!L29,'Capacidade_de_Pagamento-Temp-A'!L29)</f>
        <v>0</v>
      </c>
      <c r="M29" s="154">
        <f>IF(Proposta!$Y$26="Sim",'Capacidade_de_Pagamento-Temp'!M29,'Capacidade_de_Pagamento-Temp-A'!M29)</f>
        <v>0</v>
      </c>
      <c r="N29" s="154">
        <f>IF(Proposta!$Y$26="Sim",'Capacidade_de_Pagamento-Temp'!N29,'Capacidade_de_Pagamento-Temp-A'!N29)</f>
        <v>0</v>
      </c>
      <c r="O29" s="154">
        <f>IF(Proposta!$Y$26="Sim",'Capacidade_de_Pagamento-Temp'!O29,'Capacidade_de_Pagamento-Temp-A'!O29)</f>
        <v>0</v>
      </c>
      <c r="P29" s="154">
        <f>IF(Proposta!$Y$26="Sim",'Capacidade_de_Pagamento-Temp'!P29,'Capacidade_de_Pagamento-Temp-A'!P29)</f>
        <v>0</v>
      </c>
      <c r="Q29" s="154">
        <f>IF(Proposta!$Y$26="Sim",'Capacidade_de_Pagamento-Temp'!Q29,'Capacidade_de_Pagamento-Temp-A'!Q29)</f>
        <v>0</v>
      </c>
      <c r="R29" s="154">
        <f>IF(Proposta!$Y$26="Sim",'Capacidade_de_Pagamento-Temp'!R29,'Capacidade_de_Pagamento-Temp-A'!R29)</f>
        <v>0</v>
      </c>
      <c r="S29" s="154">
        <f>IF(Proposta!$Y$26="Sim",'Capacidade_de_Pagamento-Temp'!S29,'Capacidade_de_Pagamento-Temp-A'!S29)</f>
        <v>0</v>
      </c>
      <c r="T29" s="154">
        <f>IF(Proposta!$Y$26="Sim",'Capacidade_de_Pagamento-Temp'!T29,'Capacidade_de_Pagamento-Temp-A'!T29)</f>
        <v>0</v>
      </c>
      <c r="U29" s="154">
        <f>IF(Proposta!$Y$26="Sim",'Capacidade_de_Pagamento-Temp'!U29,'Capacidade_de_Pagamento-Temp-A'!U29)</f>
        <v>0</v>
      </c>
      <c r="V29" s="155">
        <f>IF(Proposta!$Y$26="Sim",'Capacidade_de_Pagamento-Temp'!V29,'Capacidade_de_Pagamento-Temp-A'!V29)</f>
        <v>0</v>
      </c>
      <c r="W29" s="155">
        <f>IF(Proposta!$Y$26="Sim",'Capacidade_de_Pagamento-Temp'!W29,'Capacidade_de_Pagamento-Temp-A'!W29)</f>
        <v>0</v>
      </c>
      <c r="X29" s="155">
        <f>IF(Proposta!$Y$26="Sim",'Capacidade_de_Pagamento-Temp'!X29,'Capacidade_de_Pagamento-Temp-A'!X29)</f>
        <v>0</v>
      </c>
      <c r="Y29" s="155">
        <f>IF(Proposta!$Y$26="Sim",'Capacidade_de_Pagamento-Temp'!Y29,'Capacidade_de_Pagamento-Temp-A'!Y29)</f>
        <v>0</v>
      </c>
      <c r="Z29" s="155">
        <f>IF(Proposta!$Y$26="Sim",'Capacidade_de_Pagamento-Temp'!Z29,'Capacidade_de_Pagamento-Temp-A'!Z29)</f>
        <v>0</v>
      </c>
      <c r="AA29" s="155">
        <f>IF(Proposta!$Y$26="Sim",'Capacidade_de_Pagamento-Temp'!AA29,'Capacidade_de_Pagamento-Temp-A'!AA29)</f>
        <v>0</v>
      </c>
      <c r="AB29" s="155">
        <f>IF(Proposta!$Y$26="Sim",'Capacidade_de_Pagamento-Temp'!AB29,'Capacidade_de_Pagamento-Temp-A'!AB29)</f>
        <v>0</v>
      </c>
      <c r="AC29" s="155">
        <f>IF(Proposta!$Y$26="Sim",'Capacidade_de_Pagamento-Temp'!AC29,'Capacidade_de_Pagamento-Temp-A'!AC29)</f>
        <v>0</v>
      </c>
      <c r="AD29" s="155">
        <f>IF(Proposta!$Y$26="Sim",'Capacidade_de_Pagamento-Temp'!AD29,'Capacidade_de_Pagamento-Temp-A'!AD29)</f>
        <v>0</v>
      </c>
      <c r="AE29" s="155">
        <f>IF(Proposta!$Y$26="Sim",'Capacidade_de_Pagamento-Temp'!AE29,'Capacidade_de_Pagamento-Temp-A'!AE29)</f>
        <v>0</v>
      </c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spans="1:41" ht="16.5" hidden="1" x14ac:dyDescent="0.2">
      <c r="A30" s="15"/>
      <c r="B30" s="15"/>
      <c r="C30" s="15"/>
      <c r="D30" s="15"/>
      <c r="E30" s="46">
        <f t="shared" si="2"/>
        <v>0</v>
      </c>
      <c r="F30" s="15"/>
      <c r="G30" s="15"/>
      <c r="H30" s="15"/>
      <c r="I30" s="158" t="str">
        <f>"  Encargos Op."&amp;Proposta!I27&amp;" - "&amp;Proposta!J27</f>
        <v xml:space="preserve">  Encargos Op.13 - </v>
      </c>
      <c r="J30" s="159"/>
      <c r="K30" s="158"/>
      <c r="L30" s="154">
        <f>IF(Proposta!$Y$27="Sim",'Capacidade_de_Pagamento-Temp'!L30,'Capacidade_de_Pagamento-Temp-A'!L30)</f>
        <v>0</v>
      </c>
      <c r="M30" s="154">
        <f>IF(Proposta!$Y$27="Sim",'Capacidade_de_Pagamento-Temp'!M30,'Capacidade_de_Pagamento-Temp-A'!M30)</f>
        <v>0</v>
      </c>
      <c r="N30" s="154">
        <f>IF(Proposta!$Y$27="Sim",'Capacidade_de_Pagamento-Temp'!N30,'Capacidade_de_Pagamento-Temp-A'!N30)</f>
        <v>0</v>
      </c>
      <c r="O30" s="154">
        <f>IF(Proposta!$Y$27="Sim",'Capacidade_de_Pagamento-Temp'!O30,'Capacidade_de_Pagamento-Temp-A'!O30)</f>
        <v>0</v>
      </c>
      <c r="P30" s="154">
        <f>IF(Proposta!$Y$27="Sim",'Capacidade_de_Pagamento-Temp'!P30,'Capacidade_de_Pagamento-Temp-A'!P30)</f>
        <v>0</v>
      </c>
      <c r="Q30" s="154">
        <f>IF(Proposta!$Y$27="Sim",'Capacidade_de_Pagamento-Temp'!Q30,'Capacidade_de_Pagamento-Temp-A'!Q30)</f>
        <v>0</v>
      </c>
      <c r="R30" s="154">
        <f>IF(Proposta!$Y$27="Sim",'Capacidade_de_Pagamento-Temp'!R30,'Capacidade_de_Pagamento-Temp-A'!R30)</f>
        <v>0</v>
      </c>
      <c r="S30" s="154">
        <f>IF(Proposta!$Y$27="Sim",'Capacidade_de_Pagamento-Temp'!S30,'Capacidade_de_Pagamento-Temp-A'!S30)</f>
        <v>0</v>
      </c>
      <c r="T30" s="154">
        <f>IF(Proposta!$Y$27="Sim",'Capacidade_de_Pagamento-Temp'!T30,'Capacidade_de_Pagamento-Temp-A'!T30)</f>
        <v>0</v>
      </c>
      <c r="U30" s="154">
        <f>IF(Proposta!$Y$27="Sim",'Capacidade_de_Pagamento-Temp'!U30,'Capacidade_de_Pagamento-Temp-A'!U30)</f>
        <v>0</v>
      </c>
      <c r="V30" s="155">
        <f>IF(Proposta!$Y$27="Sim",'Capacidade_de_Pagamento-Temp'!V30,'Capacidade_de_Pagamento-Temp-A'!V30)</f>
        <v>0</v>
      </c>
      <c r="W30" s="155">
        <f>IF(Proposta!$Y$27="Sim",'Capacidade_de_Pagamento-Temp'!W30,'Capacidade_de_Pagamento-Temp-A'!W30)</f>
        <v>0</v>
      </c>
      <c r="X30" s="155">
        <f>IF(Proposta!$Y$27="Sim",'Capacidade_de_Pagamento-Temp'!X30,'Capacidade_de_Pagamento-Temp-A'!X30)</f>
        <v>0</v>
      </c>
      <c r="Y30" s="155">
        <f>IF(Proposta!$Y$27="Sim",'Capacidade_de_Pagamento-Temp'!Y30,'Capacidade_de_Pagamento-Temp-A'!Y30)</f>
        <v>0</v>
      </c>
      <c r="Z30" s="155">
        <f>IF(Proposta!$Y$27="Sim",'Capacidade_de_Pagamento-Temp'!Z30,'Capacidade_de_Pagamento-Temp-A'!Z30)</f>
        <v>0</v>
      </c>
      <c r="AA30" s="155">
        <f>IF(Proposta!$Y$27="Sim",'Capacidade_de_Pagamento-Temp'!AA30,'Capacidade_de_Pagamento-Temp-A'!AA30)</f>
        <v>0</v>
      </c>
      <c r="AB30" s="155">
        <f>IF(Proposta!$Y$27="Sim",'Capacidade_de_Pagamento-Temp'!AB30,'Capacidade_de_Pagamento-Temp-A'!AB30)</f>
        <v>0</v>
      </c>
      <c r="AC30" s="155">
        <f>IF(Proposta!$Y$27="Sim",'Capacidade_de_Pagamento-Temp'!AC30,'Capacidade_de_Pagamento-Temp-A'!AC30)</f>
        <v>0</v>
      </c>
      <c r="AD30" s="155">
        <f>IF(Proposta!$Y$27="Sim",'Capacidade_de_Pagamento-Temp'!AD30,'Capacidade_de_Pagamento-Temp-A'!AD30)</f>
        <v>0</v>
      </c>
      <c r="AE30" s="155">
        <f>IF(Proposta!$Y$27="Sim",'Capacidade_de_Pagamento-Temp'!AE30,'Capacidade_de_Pagamento-Temp-A'!AE30)</f>
        <v>0</v>
      </c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spans="1:41" ht="16.5" hidden="1" x14ac:dyDescent="0.2">
      <c r="A31" s="15"/>
      <c r="B31" s="15"/>
      <c r="C31" s="15"/>
      <c r="D31" s="15"/>
      <c r="E31" s="46">
        <f t="shared" si="2"/>
        <v>0</v>
      </c>
      <c r="F31" s="15"/>
      <c r="G31" s="15"/>
      <c r="H31" s="15"/>
      <c r="I31" s="158" t="str">
        <f>"  Encargos Op."&amp;Proposta!I28&amp;" - "&amp;Proposta!J28</f>
        <v xml:space="preserve">  Encargos Op.14 - </v>
      </c>
      <c r="J31" s="159"/>
      <c r="K31" s="158"/>
      <c r="L31" s="154">
        <f>IF(Proposta!$Y$28="Sim",'Capacidade_de_Pagamento-Temp'!L31,'Capacidade_de_Pagamento-Temp-A'!L31)</f>
        <v>0</v>
      </c>
      <c r="M31" s="154">
        <f>IF(Proposta!$Y$28="Sim",'Capacidade_de_Pagamento-Temp'!M31,'Capacidade_de_Pagamento-Temp-A'!M31)</f>
        <v>0</v>
      </c>
      <c r="N31" s="154">
        <f>IF(Proposta!$Y$28="Sim",'Capacidade_de_Pagamento-Temp'!N31,'Capacidade_de_Pagamento-Temp-A'!N31)</f>
        <v>0</v>
      </c>
      <c r="O31" s="154">
        <f>IF(Proposta!$Y$28="Sim",'Capacidade_de_Pagamento-Temp'!O31,'Capacidade_de_Pagamento-Temp-A'!O31)</f>
        <v>0</v>
      </c>
      <c r="P31" s="154">
        <f>IF(Proposta!$Y$28="Sim",'Capacidade_de_Pagamento-Temp'!P31,'Capacidade_de_Pagamento-Temp-A'!P31)</f>
        <v>0</v>
      </c>
      <c r="Q31" s="154">
        <f>IF(Proposta!$Y$28="Sim",'Capacidade_de_Pagamento-Temp'!Q31,'Capacidade_de_Pagamento-Temp-A'!Q31)</f>
        <v>0</v>
      </c>
      <c r="R31" s="154">
        <f>IF(Proposta!$Y$28="Sim",'Capacidade_de_Pagamento-Temp'!R31,'Capacidade_de_Pagamento-Temp-A'!R31)</f>
        <v>0</v>
      </c>
      <c r="S31" s="154">
        <f>IF(Proposta!$Y$28="Sim",'Capacidade_de_Pagamento-Temp'!S31,'Capacidade_de_Pagamento-Temp-A'!S31)</f>
        <v>0</v>
      </c>
      <c r="T31" s="154">
        <f>IF(Proposta!$Y$28="Sim",'Capacidade_de_Pagamento-Temp'!T31,'Capacidade_de_Pagamento-Temp-A'!T31)</f>
        <v>0</v>
      </c>
      <c r="U31" s="154">
        <f>IF(Proposta!$Y$28="Sim",'Capacidade_de_Pagamento-Temp'!U31,'Capacidade_de_Pagamento-Temp-A'!U31)</f>
        <v>0</v>
      </c>
      <c r="V31" s="155">
        <f>IF(Proposta!$Y$28="Sim",'Capacidade_de_Pagamento-Temp'!V31,'Capacidade_de_Pagamento-Temp-A'!V31)</f>
        <v>0</v>
      </c>
      <c r="W31" s="155">
        <f>IF(Proposta!$Y$28="Sim",'Capacidade_de_Pagamento-Temp'!W31,'Capacidade_de_Pagamento-Temp-A'!W31)</f>
        <v>0</v>
      </c>
      <c r="X31" s="155">
        <f>IF(Proposta!$Y$28="Sim",'Capacidade_de_Pagamento-Temp'!X31,'Capacidade_de_Pagamento-Temp-A'!X31)</f>
        <v>0</v>
      </c>
      <c r="Y31" s="155">
        <f>IF(Proposta!$Y$28="Sim",'Capacidade_de_Pagamento-Temp'!Y31,'Capacidade_de_Pagamento-Temp-A'!Y31)</f>
        <v>0</v>
      </c>
      <c r="Z31" s="155">
        <f>IF(Proposta!$Y$28="Sim",'Capacidade_de_Pagamento-Temp'!Z31,'Capacidade_de_Pagamento-Temp-A'!Z31)</f>
        <v>0</v>
      </c>
      <c r="AA31" s="155">
        <f>IF(Proposta!$Y$28="Sim",'Capacidade_de_Pagamento-Temp'!AA31,'Capacidade_de_Pagamento-Temp-A'!AA31)</f>
        <v>0</v>
      </c>
      <c r="AB31" s="155">
        <f>IF(Proposta!$Y$28="Sim",'Capacidade_de_Pagamento-Temp'!AB31,'Capacidade_de_Pagamento-Temp-A'!AB31)</f>
        <v>0</v>
      </c>
      <c r="AC31" s="155">
        <f>IF(Proposta!$Y$28="Sim",'Capacidade_de_Pagamento-Temp'!AC31,'Capacidade_de_Pagamento-Temp-A'!AC31)</f>
        <v>0</v>
      </c>
      <c r="AD31" s="155">
        <f>IF(Proposta!$Y$28="Sim",'Capacidade_de_Pagamento-Temp'!AD31,'Capacidade_de_Pagamento-Temp-A'!AD31)</f>
        <v>0</v>
      </c>
      <c r="AE31" s="155">
        <f>IF(Proposta!$Y$28="Sim",'Capacidade_de_Pagamento-Temp'!AE31,'Capacidade_de_Pagamento-Temp-A'!AE31)</f>
        <v>0</v>
      </c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spans="1:41" ht="16.5" hidden="1" x14ac:dyDescent="0.2">
      <c r="A32" s="15"/>
      <c r="B32" s="15"/>
      <c r="C32" s="15"/>
      <c r="D32" s="15"/>
      <c r="E32" s="46">
        <f t="shared" si="2"/>
        <v>0</v>
      </c>
      <c r="F32" s="15"/>
      <c r="G32" s="15"/>
      <c r="H32" s="15"/>
      <c r="I32" s="158" t="str">
        <f>"  Encargos Op."&amp;Proposta!I29&amp;" - "&amp;Proposta!J29</f>
        <v xml:space="preserve">  Encargos Op.15 - </v>
      </c>
      <c r="J32" s="159"/>
      <c r="K32" s="158"/>
      <c r="L32" s="154">
        <f>IF(Proposta!$Y$29="Sim",'Capacidade_de_Pagamento-Temp'!L32,'Capacidade_de_Pagamento-Temp-A'!L32)</f>
        <v>0</v>
      </c>
      <c r="M32" s="154">
        <f>IF(Proposta!$Y$29="Sim",'Capacidade_de_Pagamento-Temp'!M32,'Capacidade_de_Pagamento-Temp-A'!M32)</f>
        <v>0</v>
      </c>
      <c r="N32" s="154">
        <f>IF(Proposta!$Y$29="Sim",'Capacidade_de_Pagamento-Temp'!N32,'Capacidade_de_Pagamento-Temp-A'!N32)</f>
        <v>0</v>
      </c>
      <c r="O32" s="154">
        <f>IF(Proposta!$Y$29="Sim",'Capacidade_de_Pagamento-Temp'!O32,'Capacidade_de_Pagamento-Temp-A'!O32)</f>
        <v>0</v>
      </c>
      <c r="P32" s="154">
        <f>IF(Proposta!$Y$29="Sim",'Capacidade_de_Pagamento-Temp'!P32,'Capacidade_de_Pagamento-Temp-A'!P32)</f>
        <v>0</v>
      </c>
      <c r="Q32" s="154">
        <f>IF(Proposta!$Y$29="Sim",'Capacidade_de_Pagamento-Temp'!Q32,'Capacidade_de_Pagamento-Temp-A'!Q32)</f>
        <v>0</v>
      </c>
      <c r="R32" s="154">
        <f>IF(Proposta!$Y$29="Sim",'Capacidade_de_Pagamento-Temp'!R32,'Capacidade_de_Pagamento-Temp-A'!R32)</f>
        <v>0</v>
      </c>
      <c r="S32" s="154">
        <f>IF(Proposta!$Y$29="Sim",'Capacidade_de_Pagamento-Temp'!S32,'Capacidade_de_Pagamento-Temp-A'!S32)</f>
        <v>0</v>
      </c>
      <c r="T32" s="154">
        <f>IF(Proposta!$Y$29="Sim",'Capacidade_de_Pagamento-Temp'!T32,'Capacidade_de_Pagamento-Temp-A'!T32)</f>
        <v>0</v>
      </c>
      <c r="U32" s="154">
        <f>IF(Proposta!$Y$29="Sim",'Capacidade_de_Pagamento-Temp'!U32,'Capacidade_de_Pagamento-Temp-A'!U32)</f>
        <v>0</v>
      </c>
      <c r="V32" s="155">
        <f>IF(Proposta!$Y$29="Sim",'Capacidade_de_Pagamento-Temp'!V32,'Capacidade_de_Pagamento-Temp-A'!V32)</f>
        <v>0</v>
      </c>
      <c r="W32" s="155">
        <f>IF(Proposta!$Y$29="Sim",'Capacidade_de_Pagamento-Temp'!W32,'Capacidade_de_Pagamento-Temp-A'!W32)</f>
        <v>0</v>
      </c>
      <c r="X32" s="155">
        <f>IF(Proposta!$Y$29="Sim",'Capacidade_de_Pagamento-Temp'!X32,'Capacidade_de_Pagamento-Temp-A'!X32)</f>
        <v>0</v>
      </c>
      <c r="Y32" s="155">
        <f>IF(Proposta!$Y$29="Sim",'Capacidade_de_Pagamento-Temp'!Y32,'Capacidade_de_Pagamento-Temp-A'!Y32)</f>
        <v>0</v>
      </c>
      <c r="Z32" s="155">
        <f>IF(Proposta!$Y$29="Sim",'Capacidade_de_Pagamento-Temp'!Z32,'Capacidade_de_Pagamento-Temp-A'!Z32)</f>
        <v>0</v>
      </c>
      <c r="AA32" s="155">
        <f>IF(Proposta!$Y$29="Sim",'Capacidade_de_Pagamento-Temp'!AA32,'Capacidade_de_Pagamento-Temp-A'!AA32)</f>
        <v>0</v>
      </c>
      <c r="AB32" s="155">
        <f>IF(Proposta!$Y$29="Sim",'Capacidade_de_Pagamento-Temp'!AB32,'Capacidade_de_Pagamento-Temp-A'!AB32)</f>
        <v>0</v>
      </c>
      <c r="AC32" s="155">
        <f>IF(Proposta!$Y$29="Sim",'Capacidade_de_Pagamento-Temp'!AC32,'Capacidade_de_Pagamento-Temp-A'!AC32)</f>
        <v>0</v>
      </c>
      <c r="AD32" s="155">
        <f>IF(Proposta!$Y$29="Sim",'Capacidade_de_Pagamento-Temp'!AD32,'Capacidade_de_Pagamento-Temp-A'!AD32)</f>
        <v>0</v>
      </c>
      <c r="AE32" s="155">
        <f>IF(Proposta!$Y$29="Sim",'Capacidade_de_Pagamento-Temp'!AE32,'Capacidade_de_Pagamento-Temp-A'!AE32)</f>
        <v>0</v>
      </c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41" ht="16.5" hidden="1" x14ac:dyDescent="0.2">
      <c r="A33" s="15"/>
      <c r="B33" s="15"/>
      <c r="C33" s="15"/>
      <c r="D33" s="15"/>
      <c r="E33" s="46">
        <f t="shared" si="2"/>
        <v>0</v>
      </c>
      <c r="F33" s="15"/>
      <c r="G33" s="15"/>
      <c r="H33" s="15"/>
      <c r="I33" s="158" t="str">
        <f>"  Encargos Op."&amp;Proposta!I30&amp;" - "&amp;Proposta!J30</f>
        <v xml:space="preserve">  Encargos Op.16 - </v>
      </c>
      <c r="J33" s="159"/>
      <c r="K33" s="158"/>
      <c r="L33" s="154">
        <f>IF(Proposta!$Y$30="Sim",'Capacidade_de_Pagamento-Temp'!L33,'Capacidade_de_Pagamento-Temp-A'!L33)</f>
        <v>0</v>
      </c>
      <c r="M33" s="154">
        <f>IF(Proposta!$Y$30="Sim",'Capacidade_de_Pagamento-Temp'!M33,'Capacidade_de_Pagamento-Temp-A'!M33)</f>
        <v>0</v>
      </c>
      <c r="N33" s="154">
        <f>IF(Proposta!$Y$30="Sim",'Capacidade_de_Pagamento-Temp'!N33,'Capacidade_de_Pagamento-Temp-A'!N33)</f>
        <v>0</v>
      </c>
      <c r="O33" s="154">
        <f>IF(Proposta!$Y$30="Sim",'Capacidade_de_Pagamento-Temp'!O33,'Capacidade_de_Pagamento-Temp-A'!O33)</f>
        <v>0</v>
      </c>
      <c r="P33" s="154">
        <f>IF(Proposta!$Y$30="Sim",'Capacidade_de_Pagamento-Temp'!P33,'Capacidade_de_Pagamento-Temp-A'!P33)</f>
        <v>0</v>
      </c>
      <c r="Q33" s="154">
        <f>IF(Proposta!$Y$30="Sim",'Capacidade_de_Pagamento-Temp'!Q33,'Capacidade_de_Pagamento-Temp-A'!Q33)</f>
        <v>0</v>
      </c>
      <c r="R33" s="154">
        <f>IF(Proposta!$Y$30="Sim",'Capacidade_de_Pagamento-Temp'!R33,'Capacidade_de_Pagamento-Temp-A'!R33)</f>
        <v>0</v>
      </c>
      <c r="S33" s="154">
        <f>IF(Proposta!$Y$30="Sim",'Capacidade_de_Pagamento-Temp'!S33,'Capacidade_de_Pagamento-Temp-A'!S33)</f>
        <v>0</v>
      </c>
      <c r="T33" s="154">
        <f>IF(Proposta!$Y$30="Sim",'Capacidade_de_Pagamento-Temp'!T33,'Capacidade_de_Pagamento-Temp-A'!T33)</f>
        <v>0</v>
      </c>
      <c r="U33" s="154">
        <f>IF(Proposta!$Y$30="Sim",'Capacidade_de_Pagamento-Temp'!U33,'Capacidade_de_Pagamento-Temp-A'!U33)</f>
        <v>0</v>
      </c>
      <c r="V33" s="155">
        <f>IF(Proposta!$Y$30="Sim",'Capacidade_de_Pagamento-Temp'!V33,'Capacidade_de_Pagamento-Temp-A'!V33)</f>
        <v>0</v>
      </c>
      <c r="W33" s="155">
        <f>IF(Proposta!$Y$30="Sim",'Capacidade_de_Pagamento-Temp'!W33,'Capacidade_de_Pagamento-Temp-A'!W33)</f>
        <v>0</v>
      </c>
      <c r="X33" s="155">
        <f>IF(Proposta!$Y$30="Sim",'Capacidade_de_Pagamento-Temp'!X33,'Capacidade_de_Pagamento-Temp-A'!X33)</f>
        <v>0</v>
      </c>
      <c r="Y33" s="155">
        <f>IF(Proposta!$Y$30="Sim",'Capacidade_de_Pagamento-Temp'!Y33,'Capacidade_de_Pagamento-Temp-A'!Y33)</f>
        <v>0</v>
      </c>
      <c r="Z33" s="155">
        <f>IF(Proposta!$Y$30="Sim",'Capacidade_de_Pagamento-Temp'!Z33,'Capacidade_de_Pagamento-Temp-A'!Z33)</f>
        <v>0</v>
      </c>
      <c r="AA33" s="155">
        <f>IF(Proposta!$Y$30="Sim",'Capacidade_de_Pagamento-Temp'!AA33,'Capacidade_de_Pagamento-Temp-A'!AA33)</f>
        <v>0</v>
      </c>
      <c r="AB33" s="155">
        <f>IF(Proposta!$Y$30="Sim",'Capacidade_de_Pagamento-Temp'!AB33,'Capacidade_de_Pagamento-Temp-A'!AB33)</f>
        <v>0</v>
      </c>
      <c r="AC33" s="155">
        <f>IF(Proposta!$Y$30="Sim",'Capacidade_de_Pagamento-Temp'!AC33,'Capacidade_de_Pagamento-Temp-A'!AC33)</f>
        <v>0</v>
      </c>
      <c r="AD33" s="155">
        <f>IF(Proposta!$Y$30="Sim",'Capacidade_de_Pagamento-Temp'!AD33,'Capacidade_de_Pagamento-Temp-A'!AD33)</f>
        <v>0</v>
      </c>
      <c r="AE33" s="155">
        <f>IF(Proposta!$Y$30="Sim",'Capacidade_de_Pagamento-Temp'!AE33,'Capacidade_de_Pagamento-Temp-A'!AE33)</f>
        <v>0</v>
      </c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spans="1:41" ht="16.5" hidden="1" x14ac:dyDescent="0.2">
      <c r="A34" s="15"/>
      <c r="B34" s="15"/>
      <c r="C34" s="15"/>
      <c r="D34" s="15"/>
      <c r="E34" s="46">
        <f t="shared" si="2"/>
        <v>0</v>
      </c>
      <c r="F34" s="15"/>
      <c r="G34" s="15"/>
      <c r="H34" s="15"/>
      <c r="I34" s="158" t="str">
        <f>"  Encargos Op."&amp;Proposta!I31&amp;" - "&amp;Proposta!J31</f>
        <v xml:space="preserve">  Encargos Op.17 - </v>
      </c>
      <c r="J34" s="159"/>
      <c r="K34" s="158"/>
      <c r="L34" s="154">
        <f>IF(Proposta!$Y$31="Sim",'Capacidade_de_Pagamento-Temp'!L34,'Capacidade_de_Pagamento-Temp-A'!L34)</f>
        <v>0</v>
      </c>
      <c r="M34" s="154">
        <f>IF(Proposta!$Y$31="Sim",'Capacidade_de_Pagamento-Temp'!M34,'Capacidade_de_Pagamento-Temp-A'!M34)</f>
        <v>0</v>
      </c>
      <c r="N34" s="154">
        <f>IF(Proposta!$Y$31="Sim",'Capacidade_de_Pagamento-Temp'!N34,'Capacidade_de_Pagamento-Temp-A'!N34)</f>
        <v>0</v>
      </c>
      <c r="O34" s="154">
        <f>IF(Proposta!$Y$31="Sim",'Capacidade_de_Pagamento-Temp'!O34,'Capacidade_de_Pagamento-Temp-A'!O34)</f>
        <v>0</v>
      </c>
      <c r="P34" s="154">
        <f>IF(Proposta!$Y$31="Sim",'Capacidade_de_Pagamento-Temp'!P34,'Capacidade_de_Pagamento-Temp-A'!P34)</f>
        <v>0</v>
      </c>
      <c r="Q34" s="154">
        <f>IF(Proposta!$Y$31="Sim",'Capacidade_de_Pagamento-Temp'!Q34,'Capacidade_de_Pagamento-Temp-A'!Q34)</f>
        <v>0</v>
      </c>
      <c r="R34" s="154">
        <f>IF(Proposta!$Y$31="Sim",'Capacidade_de_Pagamento-Temp'!R34,'Capacidade_de_Pagamento-Temp-A'!R34)</f>
        <v>0</v>
      </c>
      <c r="S34" s="154">
        <f>IF(Proposta!$Y$31="Sim",'Capacidade_de_Pagamento-Temp'!S34,'Capacidade_de_Pagamento-Temp-A'!S34)</f>
        <v>0</v>
      </c>
      <c r="T34" s="154">
        <f>IF(Proposta!$Y$31="Sim",'Capacidade_de_Pagamento-Temp'!T34,'Capacidade_de_Pagamento-Temp-A'!T34)</f>
        <v>0</v>
      </c>
      <c r="U34" s="154">
        <f>IF(Proposta!$Y$31="Sim",'Capacidade_de_Pagamento-Temp'!U34,'Capacidade_de_Pagamento-Temp-A'!U34)</f>
        <v>0</v>
      </c>
      <c r="V34" s="155">
        <f>IF(Proposta!$Y$31="Sim",'Capacidade_de_Pagamento-Temp'!V34,'Capacidade_de_Pagamento-Temp-A'!V34)</f>
        <v>0</v>
      </c>
      <c r="W34" s="155">
        <f>IF(Proposta!$Y$31="Sim",'Capacidade_de_Pagamento-Temp'!W34,'Capacidade_de_Pagamento-Temp-A'!W34)</f>
        <v>0</v>
      </c>
      <c r="X34" s="155">
        <f>IF(Proposta!$Y$31="Sim",'Capacidade_de_Pagamento-Temp'!X34,'Capacidade_de_Pagamento-Temp-A'!X34)</f>
        <v>0</v>
      </c>
      <c r="Y34" s="155">
        <f>IF(Proposta!$Y$31="Sim",'Capacidade_de_Pagamento-Temp'!Y34,'Capacidade_de_Pagamento-Temp-A'!Y34)</f>
        <v>0</v>
      </c>
      <c r="Z34" s="155">
        <f>IF(Proposta!$Y$31="Sim",'Capacidade_de_Pagamento-Temp'!Z34,'Capacidade_de_Pagamento-Temp-A'!Z34)</f>
        <v>0</v>
      </c>
      <c r="AA34" s="155">
        <f>IF(Proposta!$Y$31="Sim",'Capacidade_de_Pagamento-Temp'!AA34,'Capacidade_de_Pagamento-Temp-A'!AA34)</f>
        <v>0</v>
      </c>
      <c r="AB34" s="155">
        <f>IF(Proposta!$Y$31="Sim",'Capacidade_de_Pagamento-Temp'!AB34,'Capacidade_de_Pagamento-Temp-A'!AB34)</f>
        <v>0</v>
      </c>
      <c r="AC34" s="155">
        <f>IF(Proposta!$Y$31="Sim",'Capacidade_de_Pagamento-Temp'!AC34,'Capacidade_de_Pagamento-Temp-A'!AC34)</f>
        <v>0</v>
      </c>
      <c r="AD34" s="155">
        <f>IF(Proposta!$Y$31="Sim",'Capacidade_de_Pagamento-Temp'!AD34,'Capacidade_de_Pagamento-Temp-A'!AD34)</f>
        <v>0</v>
      </c>
      <c r="AE34" s="155">
        <f>IF(Proposta!$Y$31="Sim",'Capacidade_de_Pagamento-Temp'!AE34,'Capacidade_de_Pagamento-Temp-A'!AE34)</f>
        <v>0</v>
      </c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spans="1:41" ht="16.5" hidden="1" x14ac:dyDescent="0.2">
      <c r="A35" s="15"/>
      <c r="B35" s="15"/>
      <c r="C35" s="15"/>
      <c r="D35" s="15"/>
      <c r="E35" s="46">
        <f t="shared" si="2"/>
        <v>0</v>
      </c>
      <c r="F35" s="15"/>
      <c r="G35" s="15"/>
      <c r="H35" s="15"/>
      <c r="I35" s="158" t="str">
        <f>"  Encargos Op."&amp;Proposta!I32&amp;" - "&amp;Proposta!J32</f>
        <v xml:space="preserve">  Encargos Op.18 - </v>
      </c>
      <c r="J35" s="159"/>
      <c r="K35" s="158"/>
      <c r="L35" s="154">
        <f>IF(Proposta!$Y$32="Sim",'Capacidade_de_Pagamento-Temp'!L35,'Capacidade_de_Pagamento-Temp-A'!L35)</f>
        <v>0</v>
      </c>
      <c r="M35" s="154">
        <f>IF(Proposta!$Y$32="Sim",'Capacidade_de_Pagamento-Temp'!M35,'Capacidade_de_Pagamento-Temp-A'!M35)</f>
        <v>0</v>
      </c>
      <c r="N35" s="154">
        <f>IF(Proposta!$Y$32="Sim",'Capacidade_de_Pagamento-Temp'!N35,'Capacidade_de_Pagamento-Temp-A'!N35)</f>
        <v>0</v>
      </c>
      <c r="O35" s="154">
        <f>IF(Proposta!$Y$32="Sim",'Capacidade_de_Pagamento-Temp'!O35,'Capacidade_de_Pagamento-Temp-A'!O35)</f>
        <v>0</v>
      </c>
      <c r="P35" s="154">
        <f>IF(Proposta!$Y$32="Sim",'Capacidade_de_Pagamento-Temp'!P35,'Capacidade_de_Pagamento-Temp-A'!P35)</f>
        <v>0</v>
      </c>
      <c r="Q35" s="154">
        <f>IF(Proposta!$Y$32="Sim",'Capacidade_de_Pagamento-Temp'!Q35,'Capacidade_de_Pagamento-Temp-A'!Q35)</f>
        <v>0</v>
      </c>
      <c r="R35" s="154">
        <f>IF(Proposta!$Y$32="Sim",'Capacidade_de_Pagamento-Temp'!R35,'Capacidade_de_Pagamento-Temp-A'!R35)</f>
        <v>0</v>
      </c>
      <c r="S35" s="154">
        <f>IF(Proposta!$Y$32="Sim",'Capacidade_de_Pagamento-Temp'!S35,'Capacidade_de_Pagamento-Temp-A'!S35)</f>
        <v>0</v>
      </c>
      <c r="T35" s="154">
        <f>IF(Proposta!$Y$32="Sim",'Capacidade_de_Pagamento-Temp'!T35,'Capacidade_de_Pagamento-Temp-A'!T35)</f>
        <v>0</v>
      </c>
      <c r="U35" s="154">
        <f>IF(Proposta!$Y$32="Sim",'Capacidade_de_Pagamento-Temp'!U35,'Capacidade_de_Pagamento-Temp-A'!U35)</f>
        <v>0</v>
      </c>
      <c r="V35" s="155">
        <f>IF(Proposta!$Y$32="Sim",'Capacidade_de_Pagamento-Temp'!V35,'Capacidade_de_Pagamento-Temp-A'!V35)</f>
        <v>0</v>
      </c>
      <c r="W35" s="155">
        <f>IF(Proposta!$Y$32="Sim",'Capacidade_de_Pagamento-Temp'!W35,'Capacidade_de_Pagamento-Temp-A'!W35)</f>
        <v>0</v>
      </c>
      <c r="X35" s="155">
        <f>IF(Proposta!$Y$32="Sim",'Capacidade_de_Pagamento-Temp'!X35,'Capacidade_de_Pagamento-Temp-A'!X35)</f>
        <v>0</v>
      </c>
      <c r="Y35" s="155">
        <f>IF(Proposta!$Y$32="Sim",'Capacidade_de_Pagamento-Temp'!Y35,'Capacidade_de_Pagamento-Temp-A'!Y35)</f>
        <v>0</v>
      </c>
      <c r="Z35" s="155">
        <f>IF(Proposta!$Y$32="Sim",'Capacidade_de_Pagamento-Temp'!Z35,'Capacidade_de_Pagamento-Temp-A'!Z35)</f>
        <v>0</v>
      </c>
      <c r="AA35" s="155">
        <f>IF(Proposta!$Y$32="Sim",'Capacidade_de_Pagamento-Temp'!AA35,'Capacidade_de_Pagamento-Temp-A'!AA35)</f>
        <v>0</v>
      </c>
      <c r="AB35" s="155">
        <f>IF(Proposta!$Y$32="Sim",'Capacidade_de_Pagamento-Temp'!AB35,'Capacidade_de_Pagamento-Temp-A'!AB35)</f>
        <v>0</v>
      </c>
      <c r="AC35" s="155">
        <f>IF(Proposta!$Y$32="Sim",'Capacidade_de_Pagamento-Temp'!AC35,'Capacidade_de_Pagamento-Temp-A'!AC35)</f>
        <v>0</v>
      </c>
      <c r="AD35" s="155">
        <f>IF(Proposta!$Y$32="Sim",'Capacidade_de_Pagamento-Temp'!AD35,'Capacidade_de_Pagamento-Temp-A'!AD35)</f>
        <v>0</v>
      </c>
      <c r="AE35" s="155">
        <f>IF(Proposta!$Y$32="Sim",'Capacidade_de_Pagamento-Temp'!AE35,'Capacidade_de_Pagamento-Temp-A'!AE35)</f>
        <v>0</v>
      </c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spans="1:41" ht="16.5" hidden="1" x14ac:dyDescent="0.2">
      <c r="A36" s="15"/>
      <c r="B36" s="15"/>
      <c r="C36" s="15"/>
      <c r="D36" s="15"/>
      <c r="E36" s="46">
        <f t="shared" si="2"/>
        <v>0</v>
      </c>
      <c r="F36" s="15"/>
      <c r="G36" s="15"/>
      <c r="H36" s="15"/>
      <c r="I36" s="158" t="str">
        <f>"  Encargos Op."&amp;Proposta!I33&amp;" - "&amp;Proposta!J33</f>
        <v xml:space="preserve">  Encargos Op.19 - </v>
      </c>
      <c r="J36" s="159"/>
      <c r="K36" s="158"/>
      <c r="L36" s="154">
        <f>IF(Proposta!$Y$33="Sim",'Capacidade_de_Pagamento-Temp'!L36,'Capacidade_de_Pagamento-Temp-A'!L36)</f>
        <v>0</v>
      </c>
      <c r="M36" s="154">
        <f>IF(Proposta!$Y$33="Sim",'Capacidade_de_Pagamento-Temp'!M36,'Capacidade_de_Pagamento-Temp-A'!M36)</f>
        <v>0</v>
      </c>
      <c r="N36" s="154">
        <f>IF(Proposta!$Y$33="Sim",'Capacidade_de_Pagamento-Temp'!N36,'Capacidade_de_Pagamento-Temp-A'!N36)</f>
        <v>0</v>
      </c>
      <c r="O36" s="154">
        <f>IF(Proposta!$Y$33="Sim",'Capacidade_de_Pagamento-Temp'!O36,'Capacidade_de_Pagamento-Temp-A'!O36)</f>
        <v>0</v>
      </c>
      <c r="P36" s="154">
        <f>IF(Proposta!$Y$33="Sim",'Capacidade_de_Pagamento-Temp'!P36,'Capacidade_de_Pagamento-Temp-A'!P36)</f>
        <v>0</v>
      </c>
      <c r="Q36" s="154">
        <f>IF(Proposta!$Y$33="Sim",'Capacidade_de_Pagamento-Temp'!Q36,'Capacidade_de_Pagamento-Temp-A'!Q36)</f>
        <v>0</v>
      </c>
      <c r="R36" s="154">
        <f>IF(Proposta!$Y$33="Sim",'Capacidade_de_Pagamento-Temp'!R36,'Capacidade_de_Pagamento-Temp-A'!R36)</f>
        <v>0</v>
      </c>
      <c r="S36" s="154">
        <f>IF(Proposta!$Y$33="Sim",'Capacidade_de_Pagamento-Temp'!S36,'Capacidade_de_Pagamento-Temp-A'!S36)</f>
        <v>0</v>
      </c>
      <c r="T36" s="154">
        <f>IF(Proposta!$Y$33="Sim",'Capacidade_de_Pagamento-Temp'!T36,'Capacidade_de_Pagamento-Temp-A'!T36)</f>
        <v>0</v>
      </c>
      <c r="U36" s="154">
        <f>IF(Proposta!$Y$33="Sim",'Capacidade_de_Pagamento-Temp'!U36,'Capacidade_de_Pagamento-Temp-A'!U36)</f>
        <v>0</v>
      </c>
      <c r="V36" s="155">
        <f>IF(Proposta!$Y$33="Sim",'Capacidade_de_Pagamento-Temp'!V36,'Capacidade_de_Pagamento-Temp-A'!V36)</f>
        <v>0</v>
      </c>
      <c r="W36" s="155">
        <f>IF(Proposta!$Y$33="Sim",'Capacidade_de_Pagamento-Temp'!W36,'Capacidade_de_Pagamento-Temp-A'!W36)</f>
        <v>0</v>
      </c>
      <c r="X36" s="155">
        <f>IF(Proposta!$Y$33="Sim",'Capacidade_de_Pagamento-Temp'!X36,'Capacidade_de_Pagamento-Temp-A'!X36)</f>
        <v>0</v>
      </c>
      <c r="Y36" s="155">
        <f>IF(Proposta!$Y$33="Sim",'Capacidade_de_Pagamento-Temp'!Y36,'Capacidade_de_Pagamento-Temp-A'!Y36)</f>
        <v>0</v>
      </c>
      <c r="Z36" s="155">
        <f>IF(Proposta!$Y$33="Sim",'Capacidade_de_Pagamento-Temp'!Z36,'Capacidade_de_Pagamento-Temp-A'!Z36)</f>
        <v>0</v>
      </c>
      <c r="AA36" s="155">
        <f>IF(Proposta!$Y$33="Sim",'Capacidade_de_Pagamento-Temp'!AA36,'Capacidade_de_Pagamento-Temp-A'!AA36)</f>
        <v>0</v>
      </c>
      <c r="AB36" s="155">
        <f>IF(Proposta!$Y$33="Sim",'Capacidade_de_Pagamento-Temp'!AB36,'Capacidade_de_Pagamento-Temp-A'!AB36)</f>
        <v>0</v>
      </c>
      <c r="AC36" s="155">
        <f>IF(Proposta!$Y$33="Sim",'Capacidade_de_Pagamento-Temp'!AC36,'Capacidade_de_Pagamento-Temp-A'!AC36)</f>
        <v>0</v>
      </c>
      <c r="AD36" s="155">
        <f>IF(Proposta!$Y$33="Sim",'Capacidade_de_Pagamento-Temp'!AD36,'Capacidade_de_Pagamento-Temp-A'!AD36)</f>
        <v>0</v>
      </c>
      <c r="AE36" s="155">
        <f>IF(Proposta!$Y$33="Sim",'Capacidade_de_Pagamento-Temp'!AE36,'Capacidade_de_Pagamento-Temp-A'!AE36)</f>
        <v>0</v>
      </c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spans="1:41" ht="16.5" x14ac:dyDescent="0.25">
      <c r="A37" s="15"/>
      <c r="B37" s="15"/>
      <c r="C37" s="15"/>
      <c r="D37" s="15"/>
      <c r="E37" s="18">
        <v>1</v>
      </c>
      <c r="F37" s="160">
        <f>MIN(L37:AE37)</f>
        <v>11740.95</v>
      </c>
      <c r="G37" s="15"/>
      <c r="H37" s="15"/>
      <c r="I37" s="354" t="s">
        <v>140</v>
      </c>
      <c r="J37" s="298"/>
      <c r="K37" s="274"/>
      <c r="L37" s="156">
        <f t="shared" ref="L37:AE37" si="3">L14+L15-L16</f>
        <v>12000</v>
      </c>
      <c r="M37" s="156">
        <f t="shared" si="3"/>
        <v>12000</v>
      </c>
      <c r="N37" s="156">
        <f t="shared" si="3"/>
        <v>12000</v>
      </c>
      <c r="O37" s="156">
        <f t="shared" si="3"/>
        <v>11952.23</v>
      </c>
      <c r="P37" s="156">
        <f t="shared" si="3"/>
        <v>11939.99</v>
      </c>
      <c r="Q37" s="156">
        <f t="shared" si="3"/>
        <v>11927.62</v>
      </c>
      <c r="R37" s="156">
        <f t="shared" si="3"/>
        <v>11915.14</v>
      </c>
      <c r="S37" s="156">
        <f t="shared" si="3"/>
        <v>11902.52</v>
      </c>
      <c r="T37" s="156">
        <f t="shared" si="3"/>
        <v>11889.78</v>
      </c>
      <c r="U37" s="156">
        <f t="shared" si="3"/>
        <v>11876.92</v>
      </c>
      <c r="V37" s="157">
        <f t="shared" si="3"/>
        <v>11863.92</v>
      </c>
      <c r="W37" s="157">
        <f t="shared" si="3"/>
        <v>11850.79</v>
      </c>
      <c r="X37" s="157">
        <f t="shared" si="3"/>
        <v>11837.54</v>
      </c>
      <c r="Y37" s="157">
        <f t="shared" si="3"/>
        <v>11824.15</v>
      </c>
      <c r="Z37" s="157">
        <f t="shared" si="3"/>
        <v>11810.62</v>
      </c>
      <c r="AA37" s="157">
        <f t="shared" si="3"/>
        <v>11796.97</v>
      </c>
      <c r="AB37" s="157">
        <f t="shared" si="3"/>
        <v>11783.17</v>
      </c>
      <c r="AC37" s="157">
        <f t="shared" si="3"/>
        <v>11769.24</v>
      </c>
      <c r="AD37" s="157">
        <f t="shared" si="3"/>
        <v>11755.17</v>
      </c>
      <c r="AE37" s="157">
        <f t="shared" si="3"/>
        <v>11740.95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spans="1:41" ht="16.5" x14ac:dyDescent="0.25">
      <c r="A38" s="15"/>
      <c r="B38" s="15"/>
      <c r="C38" s="15"/>
      <c r="D38" s="15"/>
      <c r="E38" s="18">
        <v>1</v>
      </c>
      <c r="F38" s="15"/>
      <c r="G38" s="15"/>
      <c r="H38" s="15"/>
      <c r="I38" s="354" t="s">
        <v>167</v>
      </c>
      <c r="J38" s="298"/>
      <c r="K38" s="274"/>
      <c r="L38" s="154">
        <f t="shared" ref="L38:AE38" si="4">SUM(L39:L58)</f>
        <v>0</v>
      </c>
      <c r="M38" s="154">
        <f t="shared" si="4"/>
        <v>0</v>
      </c>
      <c r="N38" s="154">
        <f t="shared" si="4"/>
        <v>0</v>
      </c>
      <c r="O38" s="154">
        <f t="shared" si="4"/>
        <v>1176.47</v>
      </c>
      <c r="P38" s="154">
        <f t="shared" si="4"/>
        <v>1176.47</v>
      </c>
      <c r="Q38" s="154">
        <f t="shared" si="4"/>
        <v>1176.47</v>
      </c>
      <c r="R38" s="154">
        <f t="shared" si="4"/>
        <v>1176.47</v>
      </c>
      <c r="S38" s="154">
        <f t="shared" si="4"/>
        <v>1176.47</v>
      </c>
      <c r="T38" s="154">
        <f t="shared" si="4"/>
        <v>1176.47</v>
      </c>
      <c r="U38" s="154">
        <f t="shared" si="4"/>
        <v>1176.47</v>
      </c>
      <c r="V38" s="157">
        <f t="shared" si="4"/>
        <v>1176.47</v>
      </c>
      <c r="W38" s="157">
        <f t="shared" si="4"/>
        <v>1176.47</v>
      </c>
      <c r="X38" s="157">
        <f t="shared" si="4"/>
        <v>1176.47</v>
      </c>
      <c r="Y38" s="157">
        <f t="shared" si="4"/>
        <v>1176.47</v>
      </c>
      <c r="Z38" s="157">
        <f t="shared" si="4"/>
        <v>1176.47</v>
      </c>
      <c r="AA38" s="157">
        <f t="shared" si="4"/>
        <v>1176.47</v>
      </c>
      <c r="AB38" s="157">
        <f t="shared" si="4"/>
        <v>1176.47</v>
      </c>
      <c r="AC38" s="157">
        <f t="shared" si="4"/>
        <v>1176.47</v>
      </c>
      <c r="AD38" s="157">
        <f t="shared" si="4"/>
        <v>1176.47</v>
      </c>
      <c r="AE38" s="157">
        <f t="shared" si="4"/>
        <v>1176.48</v>
      </c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spans="1:41" ht="16.5" hidden="1" x14ac:dyDescent="0.2">
      <c r="A39" s="15"/>
      <c r="B39" s="15"/>
      <c r="C39" s="15"/>
      <c r="D39" s="15"/>
      <c r="E39" s="46">
        <f>IF(SUM(L39:AE39)=0,0,1)</f>
        <v>0</v>
      </c>
      <c r="F39" s="15"/>
      <c r="G39" s="15"/>
      <c r="H39" s="15"/>
      <c r="I39" s="354" t="str">
        <f>"  Amort. Op. "&amp;Proposta!I14&amp;" - "&amp;Proposta!J14</f>
        <v xml:space="preserve">  Amort. Op.  - SCR</v>
      </c>
      <c r="J39" s="298"/>
      <c r="K39" s="274"/>
      <c r="L39" s="154">
        <f>IF(Proposta!$Y$14="Sim",'Capacidade_de_Pagamento-Temp'!L39,'Capacidade_de_Pagamento-Temp-A'!L39)</f>
        <v>0</v>
      </c>
      <c r="M39" s="154">
        <f>IF(Proposta!$Y$14="Sim",'Capacidade_de_Pagamento-Temp'!M39,'Capacidade_de_Pagamento-Temp-A'!M39)</f>
        <v>0</v>
      </c>
      <c r="N39" s="154">
        <f>IF(Proposta!$Y$14="Sim",'Capacidade_de_Pagamento-Temp'!N39,'Capacidade_de_Pagamento-Temp-A'!N39)</f>
        <v>0</v>
      </c>
      <c r="O39" s="154">
        <f>IF(Proposta!$Y$14="Sim",'Capacidade_de_Pagamento-Temp'!O39,'Capacidade_de_Pagamento-Temp-A'!O39)</f>
        <v>0</v>
      </c>
      <c r="P39" s="154">
        <f>IF(Proposta!$Y$14="Sim",'Capacidade_de_Pagamento-Temp'!P39,'Capacidade_de_Pagamento-Temp-A'!P39)</f>
        <v>0</v>
      </c>
      <c r="Q39" s="154">
        <f>IF(Proposta!$Y$14="Sim",'Capacidade_de_Pagamento-Temp'!Q39,'Capacidade_de_Pagamento-Temp-A'!Q39)</f>
        <v>0</v>
      </c>
      <c r="R39" s="154">
        <f>IF(Proposta!$Y$14="Sim",'Capacidade_de_Pagamento-Temp'!R39,'Capacidade_de_Pagamento-Temp-A'!R39)</f>
        <v>0</v>
      </c>
      <c r="S39" s="154">
        <f>IF(Proposta!$Y$14="Sim",'Capacidade_de_Pagamento-Temp'!S39,'Capacidade_de_Pagamento-Temp-A'!S39)</f>
        <v>0</v>
      </c>
      <c r="T39" s="154">
        <f>IF(Proposta!$Y$14="Sim",'Capacidade_de_Pagamento-Temp'!T39,'Capacidade_de_Pagamento-Temp-A'!T39)</f>
        <v>0</v>
      </c>
      <c r="U39" s="154">
        <f>IF(Proposta!$Y$14="Sim",'Capacidade_de_Pagamento-Temp'!U39,'Capacidade_de_Pagamento-Temp-A'!U39)</f>
        <v>0</v>
      </c>
      <c r="V39" s="155">
        <f>IF(Proposta!$Y$14="Sim",'Capacidade_de_Pagamento-Temp'!V39,'Capacidade_de_Pagamento-Temp-A'!V39)</f>
        <v>0</v>
      </c>
      <c r="W39" s="155">
        <f>IF(Proposta!$Y$14="Sim",'Capacidade_de_Pagamento-Temp'!W39,'Capacidade_de_Pagamento-Temp-A'!W39)</f>
        <v>0</v>
      </c>
      <c r="X39" s="155">
        <f>IF(Proposta!$Y$14="Sim",'Capacidade_de_Pagamento-Temp'!X39,'Capacidade_de_Pagamento-Temp-A'!X39)</f>
        <v>0</v>
      </c>
      <c r="Y39" s="155">
        <f>IF(Proposta!$Y$14="Sim",'Capacidade_de_Pagamento-Temp'!Y39,'Capacidade_de_Pagamento-Temp-A'!Y39)</f>
        <v>0</v>
      </c>
      <c r="Z39" s="155">
        <f>IF(Proposta!$Y$14="Sim",'Capacidade_de_Pagamento-Temp'!Z39,'Capacidade_de_Pagamento-Temp-A'!Z39)</f>
        <v>0</v>
      </c>
      <c r="AA39" s="155">
        <f>IF(Proposta!$Y$14="Sim",'Capacidade_de_Pagamento-Temp'!AA39,'Capacidade_de_Pagamento-Temp-A'!AA39)</f>
        <v>0</v>
      </c>
      <c r="AB39" s="155">
        <f>IF(Proposta!$Y$14="Sim",'Capacidade_de_Pagamento-Temp'!AB39,'Capacidade_de_Pagamento-Temp-A'!AB39)</f>
        <v>0</v>
      </c>
      <c r="AC39" s="155">
        <f>IF(Proposta!$Y$14="Sim",'Capacidade_de_Pagamento-Temp'!AC39,'Capacidade_de_Pagamento-Temp-A'!AC39)</f>
        <v>0</v>
      </c>
      <c r="AD39" s="155">
        <f>IF(Proposta!$Y$14="Sim",'Capacidade_de_Pagamento-Temp'!AD39,'Capacidade_de_Pagamento-Temp-A'!AD39)</f>
        <v>0</v>
      </c>
      <c r="AE39" s="155">
        <f>IF(Proposta!$Y$14="Sim",'Capacidade_de_Pagamento-Temp'!AE39,'Capacidade_de_Pagamento-Temp-A'!AE39)</f>
        <v>0</v>
      </c>
      <c r="AF39" s="15"/>
      <c r="AG39" s="15"/>
      <c r="AH39" s="15"/>
      <c r="AI39" s="15"/>
      <c r="AJ39" s="15"/>
      <c r="AK39" s="15"/>
      <c r="AL39" s="15"/>
      <c r="AM39" s="15"/>
      <c r="AN39" s="15"/>
      <c r="AO39" s="15"/>
    </row>
    <row r="40" spans="1:41" ht="16.5" hidden="1" x14ac:dyDescent="0.2">
      <c r="A40" s="15"/>
      <c r="B40" s="15"/>
      <c r="C40" s="15"/>
      <c r="D40" s="15"/>
      <c r="E40" s="46">
        <v>0</v>
      </c>
      <c r="F40" s="15"/>
      <c r="G40" s="15"/>
      <c r="H40" s="15"/>
      <c r="I40" s="354" t="str">
        <f>"  Amort.(Principal) Op. "&amp;Proposta!I15&amp;" - "&amp;Proposta!J15</f>
        <v xml:space="preserve">  Amort.(Principal) Op. 1 - </v>
      </c>
      <c r="J40" s="298"/>
      <c r="K40" s="274"/>
      <c r="L40" s="154">
        <f>IF(Proposta!$Y$15="Sim",'Capacidade_de_Pagamento-Temp'!L40,'Capacidade_de_Pagamento-Temp-A'!L40)</f>
        <v>0</v>
      </c>
      <c r="M40" s="154">
        <f>IF(Proposta!$Y$15="Sim",'Capacidade_de_Pagamento-Temp'!M40,'Capacidade_de_Pagamento-Temp-A'!M40)</f>
        <v>0</v>
      </c>
      <c r="N40" s="154">
        <f>IF(Proposta!$Y$15="Sim",'Capacidade_de_Pagamento-Temp'!N40,'Capacidade_de_Pagamento-Temp-A'!N40)</f>
        <v>0</v>
      </c>
      <c r="O40" s="154">
        <f>IF(Proposta!$Y$15="Sim",'Capacidade_de_Pagamento-Temp'!O40,'Capacidade_de_Pagamento-Temp-A'!O40)</f>
        <v>1176.47</v>
      </c>
      <c r="P40" s="154">
        <f>IF(Proposta!$Y$15="Sim",'Capacidade_de_Pagamento-Temp'!P40,'Capacidade_de_Pagamento-Temp-A'!P40)</f>
        <v>1176.47</v>
      </c>
      <c r="Q40" s="154">
        <f>IF(Proposta!$Y$15="Sim",'Capacidade_de_Pagamento-Temp'!Q40,'Capacidade_de_Pagamento-Temp-A'!Q40)</f>
        <v>1176.47</v>
      </c>
      <c r="R40" s="154">
        <f>IF(Proposta!$Y$15="Sim",'Capacidade_de_Pagamento-Temp'!R40,'Capacidade_de_Pagamento-Temp-A'!R40)</f>
        <v>1176.47</v>
      </c>
      <c r="S40" s="154">
        <f>IF(Proposta!$Y$15="Sim",'Capacidade_de_Pagamento-Temp'!S40,'Capacidade_de_Pagamento-Temp-A'!S40)</f>
        <v>1176.47</v>
      </c>
      <c r="T40" s="154">
        <f>IF(Proposta!$Y$15="Sim",'Capacidade_de_Pagamento-Temp'!T40,'Capacidade_de_Pagamento-Temp-A'!T40)</f>
        <v>1176.47</v>
      </c>
      <c r="U40" s="154">
        <f>IF(Proposta!$Y$15="Sim",'Capacidade_de_Pagamento-Temp'!U40,'Capacidade_de_Pagamento-Temp-A'!U40)</f>
        <v>1176.47</v>
      </c>
      <c r="V40" s="155">
        <f>IF(Proposta!$Y$15="Sim",'Capacidade_de_Pagamento-Temp'!V40,'Capacidade_de_Pagamento-Temp-A'!V40)</f>
        <v>1176.47</v>
      </c>
      <c r="W40" s="155">
        <f>IF(Proposta!$Y$15="Sim",'Capacidade_de_Pagamento-Temp'!W40,'Capacidade_de_Pagamento-Temp-A'!W40)</f>
        <v>1176.47</v>
      </c>
      <c r="X40" s="155">
        <f>IF(Proposta!$Y$15="Sim",'Capacidade_de_Pagamento-Temp'!X40,'Capacidade_de_Pagamento-Temp-A'!X40)</f>
        <v>1176.47</v>
      </c>
      <c r="Y40" s="155">
        <f>IF(Proposta!$Y$15="Sim",'Capacidade_de_Pagamento-Temp'!Y40,'Capacidade_de_Pagamento-Temp-A'!Y40)</f>
        <v>1176.47</v>
      </c>
      <c r="Z40" s="155">
        <f>IF(Proposta!$Y$15="Sim",'Capacidade_de_Pagamento-Temp'!Z40,'Capacidade_de_Pagamento-Temp-A'!Z40)</f>
        <v>1176.47</v>
      </c>
      <c r="AA40" s="155">
        <f>IF(Proposta!$Y$15="Sim",'Capacidade_de_Pagamento-Temp'!AA40,'Capacidade_de_Pagamento-Temp-A'!AA40)</f>
        <v>1176.47</v>
      </c>
      <c r="AB40" s="155">
        <f>IF(Proposta!$Y$15="Sim",'Capacidade_de_Pagamento-Temp'!AB40,'Capacidade_de_Pagamento-Temp-A'!AB40)</f>
        <v>1176.47</v>
      </c>
      <c r="AC40" s="155">
        <f>IF(Proposta!$Y$15="Sim",'Capacidade_de_Pagamento-Temp'!AC40,'Capacidade_de_Pagamento-Temp-A'!AC40)</f>
        <v>1176.47</v>
      </c>
      <c r="AD40" s="155">
        <f>IF(Proposta!$Y$15="Sim",'Capacidade_de_Pagamento-Temp'!AD40,'Capacidade_de_Pagamento-Temp-A'!AD40)</f>
        <v>1176.47</v>
      </c>
      <c r="AE40" s="155">
        <f>IF(Proposta!$Y$15="Sim",'Capacidade_de_Pagamento-Temp'!AE40,'Capacidade_de_Pagamento-Temp-A'!AE40)</f>
        <v>1176.48</v>
      </c>
      <c r="AF40" s="15"/>
      <c r="AG40" s="15"/>
      <c r="AH40" s="15"/>
      <c r="AI40" s="15"/>
      <c r="AJ40" s="15"/>
      <c r="AK40" s="15"/>
      <c r="AL40" s="15"/>
      <c r="AM40" s="15"/>
      <c r="AN40" s="15"/>
      <c r="AO40" s="15"/>
    </row>
    <row r="41" spans="1:41" ht="16.5" hidden="1" x14ac:dyDescent="0.2">
      <c r="A41" s="15"/>
      <c r="B41" s="15"/>
      <c r="C41" s="15"/>
      <c r="D41" s="15"/>
      <c r="E41" s="46">
        <f t="shared" ref="E41:E58" si="5">IF(SUM(L41:AE41)=0,0,1)</f>
        <v>0</v>
      </c>
      <c r="F41" s="15"/>
      <c r="G41" s="15"/>
      <c r="H41" s="15"/>
      <c r="I41" s="158" t="str">
        <f>"  Amort.(Principal) Op. "&amp;Proposta!I16&amp;" - "&amp;Proposta!J16</f>
        <v xml:space="preserve">  Amort.(Principal) Op. 2 - </v>
      </c>
      <c r="J41" s="158"/>
      <c r="K41" s="158"/>
      <c r="L41" s="154">
        <f>IF(Proposta!$Y$16="Sim",'Capacidade_de_Pagamento-Temp'!L41,'Capacidade_de_Pagamento-Temp-A'!L41)</f>
        <v>0</v>
      </c>
      <c r="M41" s="154">
        <f>IF(Proposta!$Y$16="Sim",'Capacidade_de_Pagamento-Temp'!M41,'Capacidade_de_Pagamento-Temp-A'!M41)</f>
        <v>0</v>
      </c>
      <c r="N41" s="154">
        <f>IF(Proposta!$Y$16="Sim",'Capacidade_de_Pagamento-Temp'!N41,'Capacidade_de_Pagamento-Temp-A'!N41)</f>
        <v>0</v>
      </c>
      <c r="O41" s="154">
        <f>IF(Proposta!$Y$16="Sim",'Capacidade_de_Pagamento-Temp'!O41,'Capacidade_de_Pagamento-Temp-A'!O41)</f>
        <v>0</v>
      </c>
      <c r="P41" s="154">
        <f>IF(Proposta!$Y$16="Sim",'Capacidade_de_Pagamento-Temp'!P41,'Capacidade_de_Pagamento-Temp-A'!P41)</f>
        <v>0</v>
      </c>
      <c r="Q41" s="154">
        <f>IF(Proposta!$Y$16="Sim",'Capacidade_de_Pagamento-Temp'!Q41,'Capacidade_de_Pagamento-Temp-A'!Q41)</f>
        <v>0</v>
      </c>
      <c r="R41" s="154">
        <f>IF(Proposta!$Y$16="Sim",'Capacidade_de_Pagamento-Temp'!R41,'Capacidade_de_Pagamento-Temp-A'!R41)</f>
        <v>0</v>
      </c>
      <c r="S41" s="154">
        <f>IF(Proposta!$Y$16="Sim",'Capacidade_de_Pagamento-Temp'!S41,'Capacidade_de_Pagamento-Temp-A'!S41)</f>
        <v>0</v>
      </c>
      <c r="T41" s="154">
        <f>IF(Proposta!$Y$16="Sim",'Capacidade_de_Pagamento-Temp'!T41,'Capacidade_de_Pagamento-Temp-A'!T41)</f>
        <v>0</v>
      </c>
      <c r="U41" s="154">
        <f>IF(Proposta!$Y$16="Sim",'Capacidade_de_Pagamento-Temp'!U41,'Capacidade_de_Pagamento-Temp-A'!U41)</f>
        <v>0</v>
      </c>
      <c r="V41" s="155">
        <f>IF(Proposta!$Y$16="Sim",'Capacidade_de_Pagamento-Temp'!V41,'Capacidade_de_Pagamento-Temp-A'!V41)</f>
        <v>0</v>
      </c>
      <c r="W41" s="155">
        <f>IF(Proposta!$Y$16="Sim",'Capacidade_de_Pagamento-Temp'!W41,'Capacidade_de_Pagamento-Temp-A'!W41)</f>
        <v>0</v>
      </c>
      <c r="X41" s="155">
        <f>IF(Proposta!$Y$16="Sim",'Capacidade_de_Pagamento-Temp'!X41,'Capacidade_de_Pagamento-Temp-A'!X41)</f>
        <v>0</v>
      </c>
      <c r="Y41" s="155">
        <f>IF(Proposta!$Y$16="Sim",'Capacidade_de_Pagamento-Temp'!Y41,'Capacidade_de_Pagamento-Temp-A'!Y41)</f>
        <v>0</v>
      </c>
      <c r="Z41" s="155">
        <f>IF(Proposta!$Y$16="Sim",'Capacidade_de_Pagamento-Temp'!Z41,'Capacidade_de_Pagamento-Temp-A'!Z41)</f>
        <v>0</v>
      </c>
      <c r="AA41" s="155">
        <f>IF(Proposta!$Y$16="Sim",'Capacidade_de_Pagamento-Temp'!AA41,'Capacidade_de_Pagamento-Temp-A'!AA41)</f>
        <v>0</v>
      </c>
      <c r="AB41" s="155">
        <f>IF(Proposta!$Y$16="Sim",'Capacidade_de_Pagamento-Temp'!AB41,'Capacidade_de_Pagamento-Temp-A'!AB41)</f>
        <v>0</v>
      </c>
      <c r="AC41" s="155">
        <f>IF(Proposta!$Y$16="Sim",'Capacidade_de_Pagamento-Temp'!AC41,'Capacidade_de_Pagamento-Temp-A'!AC41)</f>
        <v>0</v>
      </c>
      <c r="AD41" s="155">
        <f>IF(Proposta!$Y$16="Sim",'Capacidade_de_Pagamento-Temp'!AD41,'Capacidade_de_Pagamento-Temp-A'!AD41)</f>
        <v>0</v>
      </c>
      <c r="AE41" s="155">
        <f>IF(Proposta!$Y$16="Sim",'Capacidade_de_Pagamento-Temp'!AE41,'Capacidade_de_Pagamento-Temp-A'!AE41)</f>
        <v>0</v>
      </c>
      <c r="AF41" s="15"/>
      <c r="AG41" s="15"/>
      <c r="AH41" s="15"/>
      <c r="AI41" s="15"/>
      <c r="AJ41" s="15"/>
      <c r="AK41" s="15"/>
      <c r="AL41" s="15"/>
      <c r="AM41" s="15"/>
      <c r="AN41" s="15"/>
      <c r="AO41" s="15"/>
    </row>
    <row r="42" spans="1:41" ht="16.5" hidden="1" x14ac:dyDescent="0.2">
      <c r="A42" s="15"/>
      <c r="B42" s="15"/>
      <c r="C42" s="15"/>
      <c r="D42" s="15"/>
      <c r="E42" s="46">
        <f t="shared" si="5"/>
        <v>0</v>
      </c>
      <c r="F42" s="15"/>
      <c r="G42" s="15"/>
      <c r="H42" s="15"/>
      <c r="I42" s="158" t="str">
        <f>"  Amort.(Principal) Op. "&amp;Proposta!I17&amp;" - "&amp;Proposta!J17</f>
        <v xml:space="preserve">  Amort.(Principal) Op. 3 - </v>
      </c>
      <c r="J42" s="158"/>
      <c r="K42" s="158"/>
      <c r="L42" s="154">
        <f>IF(Proposta!$Y$17="Sim",'Capacidade_de_Pagamento-Temp'!L42,'Capacidade_de_Pagamento-Temp-A'!L42)</f>
        <v>0</v>
      </c>
      <c r="M42" s="154">
        <f>IF(Proposta!$Y$17="Sim",'Capacidade_de_Pagamento-Temp'!M42,'Capacidade_de_Pagamento-Temp-A'!M42)</f>
        <v>0</v>
      </c>
      <c r="N42" s="154">
        <f>IF(Proposta!$Y$17="Sim",'Capacidade_de_Pagamento-Temp'!N42,'Capacidade_de_Pagamento-Temp-A'!N42)</f>
        <v>0</v>
      </c>
      <c r="O42" s="154">
        <f>IF(Proposta!$Y$17="Sim",'Capacidade_de_Pagamento-Temp'!O42,'Capacidade_de_Pagamento-Temp-A'!O42)</f>
        <v>0</v>
      </c>
      <c r="P42" s="154">
        <f>IF(Proposta!$Y$17="Sim",'Capacidade_de_Pagamento-Temp'!P42,'Capacidade_de_Pagamento-Temp-A'!P42)</f>
        <v>0</v>
      </c>
      <c r="Q42" s="154">
        <f>IF(Proposta!$Y$17="Sim",'Capacidade_de_Pagamento-Temp'!Q42,'Capacidade_de_Pagamento-Temp-A'!Q42)</f>
        <v>0</v>
      </c>
      <c r="R42" s="154">
        <f>IF(Proposta!$Y$17="Sim",'Capacidade_de_Pagamento-Temp'!R42,'Capacidade_de_Pagamento-Temp-A'!R42)</f>
        <v>0</v>
      </c>
      <c r="S42" s="154">
        <f>IF(Proposta!$Y$17="Sim",'Capacidade_de_Pagamento-Temp'!S42,'Capacidade_de_Pagamento-Temp-A'!S42)</f>
        <v>0</v>
      </c>
      <c r="T42" s="154">
        <f>IF(Proposta!$Y$17="Sim",'Capacidade_de_Pagamento-Temp'!T42,'Capacidade_de_Pagamento-Temp-A'!T42)</f>
        <v>0</v>
      </c>
      <c r="U42" s="154">
        <f>IF(Proposta!$Y$17="Sim",'Capacidade_de_Pagamento-Temp'!U42,'Capacidade_de_Pagamento-Temp-A'!U42)</f>
        <v>0</v>
      </c>
      <c r="V42" s="155">
        <f>IF(Proposta!$Y$17="Sim",'Capacidade_de_Pagamento-Temp'!V42,'Capacidade_de_Pagamento-Temp-A'!V42)</f>
        <v>0</v>
      </c>
      <c r="W42" s="155">
        <f>IF(Proposta!$Y$17="Sim",'Capacidade_de_Pagamento-Temp'!W42,'Capacidade_de_Pagamento-Temp-A'!W42)</f>
        <v>0</v>
      </c>
      <c r="X42" s="155">
        <f>IF(Proposta!$Y$17="Sim",'Capacidade_de_Pagamento-Temp'!X42,'Capacidade_de_Pagamento-Temp-A'!X42)</f>
        <v>0</v>
      </c>
      <c r="Y42" s="155">
        <f>IF(Proposta!$Y$17="Sim",'Capacidade_de_Pagamento-Temp'!Y42,'Capacidade_de_Pagamento-Temp-A'!Y42)</f>
        <v>0</v>
      </c>
      <c r="Z42" s="155">
        <f>IF(Proposta!$Y$17="Sim",'Capacidade_de_Pagamento-Temp'!Z42,'Capacidade_de_Pagamento-Temp-A'!Z42)</f>
        <v>0</v>
      </c>
      <c r="AA42" s="155">
        <f>IF(Proposta!$Y$17="Sim",'Capacidade_de_Pagamento-Temp'!AA42,'Capacidade_de_Pagamento-Temp-A'!AA42)</f>
        <v>0</v>
      </c>
      <c r="AB42" s="155">
        <f>IF(Proposta!$Y$17="Sim",'Capacidade_de_Pagamento-Temp'!AB42,'Capacidade_de_Pagamento-Temp-A'!AB42)</f>
        <v>0</v>
      </c>
      <c r="AC42" s="155">
        <f>IF(Proposta!$Y$17="Sim",'Capacidade_de_Pagamento-Temp'!AC42,'Capacidade_de_Pagamento-Temp-A'!AC42)</f>
        <v>0</v>
      </c>
      <c r="AD42" s="155">
        <f>IF(Proposta!$Y$17="Sim",'Capacidade_de_Pagamento-Temp'!AD42,'Capacidade_de_Pagamento-Temp-A'!AD42)</f>
        <v>0</v>
      </c>
      <c r="AE42" s="155">
        <f>IF(Proposta!$Y$17="Sim",'Capacidade_de_Pagamento-Temp'!AE42,'Capacidade_de_Pagamento-Temp-A'!AE42)</f>
        <v>0</v>
      </c>
      <c r="AF42" s="15"/>
      <c r="AG42" s="15"/>
      <c r="AH42" s="15"/>
      <c r="AI42" s="15"/>
      <c r="AJ42" s="15"/>
      <c r="AK42" s="15"/>
      <c r="AL42" s="15"/>
      <c r="AM42" s="15"/>
      <c r="AN42" s="15"/>
      <c r="AO42" s="15"/>
    </row>
    <row r="43" spans="1:41" ht="16.5" hidden="1" x14ac:dyDescent="0.2">
      <c r="A43" s="15"/>
      <c r="B43" s="15"/>
      <c r="C43" s="15"/>
      <c r="D43" s="15"/>
      <c r="E43" s="46">
        <f t="shared" si="5"/>
        <v>0</v>
      </c>
      <c r="F43" s="15"/>
      <c r="G43" s="15"/>
      <c r="H43" s="15"/>
      <c r="I43" s="158" t="str">
        <f>"  Amort.(Principal) Op. "&amp;Proposta!I18&amp;" - "&amp;Proposta!J18</f>
        <v xml:space="preserve">  Amort.(Principal) Op. 4 - </v>
      </c>
      <c r="J43" s="158"/>
      <c r="K43" s="158"/>
      <c r="L43" s="154">
        <f>IF(Proposta!$Y$18="Sim",'Capacidade_de_Pagamento-Temp'!L43,'Capacidade_de_Pagamento-Temp-A'!L43)</f>
        <v>0</v>
      </c>
      <c r="M43" s="154">
        <f>IF(Proposta!$Y$18="Sim",'Capacidade_de_Pagamento-Temp'!M43,'Capacidade_de_Pagamento-Temp-A'!M43)</f>
        <v>0</v>
      </c>
      <c r="N43" s="154">
        <f>IF(Proposta!$Y$18="Sim",'Capacidade_de_Pagamento-Temp'!N43,'Capacidade_de_Pagamento-Temp-A'!N43)</f>
        <v>0</v>
      </c>
      <c r="O43" s="154">
        <f>IF(Proposta!$Y$18="Sim",'Capacidade_de_Pagamento-Temp'!O43,'Capacidade_de_Pagamento-Temp-A'!O43)</f>
        <v>0</v>
      </c>
      <c r="P43" s="154">
        <f>IF(Proposta!$Y$18="Sim",'Capacidade_de_Pagamento-Temp'!P43,'Capacidade_de_Pagamento-Temp-A'!P43)</f>
        <v>0</v>
      </c>
      <c r="Q43" s="154">
        <f>IF(Proposta!$Y$18="Sim",'Capacidade_de_Pagamento-Temp'!Q43,'Capacidade_de_Pagamento-Temp-A'!Q43)</f>
        <v>0</v>
      </c>
      <c r="R43" s="154">
        <f>IF(Proposta!$Y$18="Sim",'Capacidade_de_Pagamento-Temp'!R43,'Capacidade_de_Pagamento-Temp-A'!R43)</f>
        <v>0</v>
      </c>
      <c r="S43" s="154">
        <f>IF(Proposta!$Y$18="Sim",'Capacidade_de_Pagamento-Temp'!S43,'Capacidade_de_Pagamento-Temp-A'!S43)</f>
        <v>0</v>
      </c>
      <c r="T43" s="154">
        <f>IF(Proposta!$Y$18="Sim",'Capacidade_de_Pagamento-Temp'!T43,'Capacidade_de_Pagamento-Temp-A'!T43)</f>
        <v>0</v>
      </c>
      <c r="U43" s="154">
        <f>IF(Proposta!$Y$18="Sim",'Capacidade_de_Pagamento-Temp'!U43,'Capacidade_de_Pagamento-Temp-A'!U43)</f>
        <v>0</v>
      </c>
      <c r="V43" s="155">
        <f>IF(Proposta!$Y$18="Sim",'Capacidade_de_Pagamento-Temp'!V43,'Capacidade_de_Pagamento-Temp-A'!V43)</f>
        <v>0</v>
      </c>
      <c r="W43" s="155">
        <f>IF(Proposta!$Y$18="Sim",'Capacidade_de_Pagamento-Temp'!W43,'Capacidade_de_Pagamento-Temp-A'!W43)</f>
        <v>0</v>
      </c>
      <c r="X43" s="155">
        <f>IF(Proposta!$Y$18="Sim",'Capacidade_de_Pagamento-Temp'!X43,'Capacidade_de_Pagamento-Temp-A'!X43)</f>
        <v>0</v>
      </c>
      <c r="Y43" s="155">
        <f>IF(Proposta!$Y$18="Sim",'Capacidade_de_Pagamento-Temp'!Y43,'Capacidade_de_Pagamento-Temp-A'!Y43)</f>
        <v>0</v>
      </c>
      <c r="Z43" s="155">
        <f>IF(Proposta!$Y$18="Sim",'Capacidade_de_Pagamento-Temp'!Z43,'Capacidade_de_Pagamento-Temp-A'!Z43)</f>
        <v>0</v>
      </c>
      <c r="AA43" s="155">
        <f>IF(Proposta!$Y$18="Sim",'Capacidade_de_Pagamento-Temp'!AA43,'Capacidade_de_Pagamento-Temp-A'!AA43)</f>
        <v>0</v>
      </c>
      <c r="AB43" s="155">
        <f>IF(Proposta!$Y$18="Sim",'Capacidade_de_Pagamento-Temp'!AB43,'Capacidade_de_Pagamento-Temp-A'!AB43)</f>
        <v>0</v>
      </c>
      <c r="AC43" s="155">
        <f>IF(Proposta!$Y$18="Sim",'Capacidade_de_Pagamento-Temp'!AC43,'Capacidade_de_Pagamento-Temp-A'!AC43)</f>
        <v>0</v>
      </c>
      <c r="AD43" s="155">
        <f>IF(Proposta!$Y$18="Sim",'Capacidade_de_Pagamento-Temp'!AD43,'Capacidade_de_Pagamento-Temp-A'!AD43)</f>
        <v>0</v>
      </c>
      <c r="AE43" s="155">
        <f>IF(Proposta!$Y$18="Sim",'Capacidade_de_Pagamento-Temp'!AE43,'Capacidade_de_Pagamento-Temp-A'!AE43)</f>
        <v>0</v>
      </c>
      <c r="AF43" s="15"/>
      <c r="AG43" s="15"/>
      <c r="AH43" s="15"/>
      <c r="AI43" s="15"/>
      <c r="AJ43" s="15"/>
      <c r="AK43" s="15"/>
      <c r="AL43" s="15"/>
      <c r="AM43" s="15"/>
      <c r="AN43" s="15"/>
      <c r="AO43" s="15"/>
    </row>
    <row r="44" spans="1:41" ht="16.5" hidden="1" x14ac:dyDescent="0.2">
      <c r="A44" s="15"/>
      <c r="B44" s="15"/>
      <c r="C44" s="15"/>
      <c r="D44" s="15"/>
      <c r="E44" s="46">
        <f t="shared" si="5"/>
        <v>0</v>
      </c>
      <c r="F44" s="15"/>
      <c r="G44" s="15"/>
      <c r="H44" s="15"/>
      <c r="I44" s="158" t="str">
        <f>"  Amort.(Principal) Op. "&amp;Proposta!I19&amp;" - "&amp;Proposta!J19</f>
        <v xml:space="preserve">  Amort.(Principal) Op. 5 - ,</v>
      </c>
      <c r="J44" s="158"/>
      <c r="K44" s="158"/>
      <c r="L44" s="154">
        <f>IF(Proposta!$Y$19="Sim",'Capacidade_de_Pagamento-Temp'!L44,'Capacidade_de_Pagamento-Temp-A'!L44)</f>
        <v>0</v>
      </c>
      <c r="M44" s="154">
        <f>IF(Proposta!$Y$19="Sim",'Capacidade_de_Pagamento-Temp'!M44,'Capacidade_de_Pagamento-Temp-A'!M44)</f>
        <v>0</v>
      </c>
      <c r="N44" s="154">
        <f>IF(Proposta!$Y$19="Sim",'Capacidade_de_Pagamento-Temp'!N44,'Capacidade_de_Pagamento-Temp-A'!N44)</f>
        <v>0</v>
      </c>
      <c r="O44" s="154">
        <f>IF(Proposta!$Y$19="Sim",'Capacidade_de_Pagamento-Temp'!O44,'Capacidade_de_Pagamento-Temp-A'!O44)</f>
        <v>0</v>
      </c>
      <c r="P44" s="154">
        <f>IF(Proposta!$Y$19="Sim",'Capacidade_de_Pagamento-Temp'!P44,'Capacidade_de_Pagamento-Temp-A'!P44)</f>
        <v>0</v>
      </c>
      <c r="Q44" s="154">
        <f>IF(Proposta!$Y$19="Sim",'Capacidade_de_Pagamento-Temp'!Q44,'Capacidade_de_Pagamento-Temp-A'!Q44)</f>
        <v>0</v>
      </c>
      <c r="R44" s="154">
        <f>IF(Proposta!$Y$19="Sim",'Capacidade_de_Pagamento-Temp'!R44,'Capacidade_de_Pagamento-Temp-A'!R44)</f>
        <v>0</v>
      </c>
      <c r="S44" s="154">
        <f>IF(Proposta!$Y$19="Sim",'Capacidade_de_Pagamento-Temp'!S44,'Capacidade_de_Pagamento-Temp-A'!S44)</f>
        <v>0</v>
      </c>
      <c r="T44" s="154">
        <f>IF(Proposta!$Y$19="Sim",'Capacidade_de_Pagamento-Temp'!T44,'Capacidade_de_Pagamento-Temp-A'!T44)</f>
        <v>0</v>
      </c>
      <c r="U44" s="154">
        <f>IF(Proposta!$Y$19="Sim",'Capacidade_de_Pagamento-Temp'!U44,'Capacidade_de_Pagamento-Temp-A'!U44)</f>
        <v>0</v>
      </c>
      <c r="V44" s="155">
        <f>IF(Proposta!$Y$19="Sim",'Capacidade_de_Pagamento-Temp'!V44,'Capacidade_de_Pagamento-Temp-A'!V44)</f>
        <v>0</v>
      </c>
      <c r="W44" s="155">
        <f>IF(Proposta!$Y$19="Sim",'Capacidade_de_Pagamento-Temp'!W44,'Capacidade_de_Pagamento-Temp-A'!W44)</f>
        <v>0</v>
      </c>
      <c r="X44" s="155">
        <f>IF(Proposta!$Y$19="Sim",'Capacidade_de_Pagamento-Temp'!X44,'Capacidade_de_Pagamento-Temp-A'!X44)</f>
        <v>0</v>
      </c>
      <c r="Y44" s="155">
        <f>IF(Proposta!$Y$19="Sim",'Capacidade_de_Pagamento-Temp'!Y44,'Capacidade_de_Pagamento-Temp-A'!Y44)</f>
        <v>0</v>
      </c>
      <c r="Z44" s="155">
        <f>IF(Proposta!$Y$19="Sim",'Capacidade_de_Pagamento-Temp'!Z44,'Capacidade_de_Pagamento-Temp-A'!Z44)</f>
        <v>0</v>
      </c>
      <c r="AA44" s="155">
        <f>IF(Proposta!$Y$19="Sim",'Capacidade_de_Pagamento-Temp'!AA44,'Capacidade_de_Pagamento-Temp-A'!AA44)</f>
        <v>0</v>
      </c>
      <c r="AB44" s="155">
        <f>IF(Proposta!$Y$19="Sim",'Capacidade_de_Pagamento-Temp'!AB44,'Capacidade_de_Pagamento-Temp-A'!AB44)</f>
        <v>0</v>
      </c>
      <c r="AC44" s="155">
        <f>IF(Proposta!$Y$19="Sim",'Capacidade_de_Pagamento-Temp'!AC44,'Capacidade_de_Pagamento-Temp-A'!AC44)</f>
        <v>0</v>
      </c>
      <c r="AD44" s="155">
        <f>IF(Proposta!$Y$19="Sim",'Capacidade_de_Pagamento-Temp'!AD44,'Capacidade_de_Pagamento-Temp-A'!AD44)</f>
        <v>0</v>
      </c>
      <c r="AE44" s="155">
        <f>IF(Proposta!$Y$19="Sim",'Capacidade_de_Pagamento-Temp'!AE44,'Capacidade_de_Pagamento-Temp-A'!AE44)</f>
        <v>0</v>
      </c>
      <c r="AF44" s="15"/>
      <c r="AG44" s="15"/>
      <c r="AH44" s="15"/>
      <c r="AI44" s="15"/>
      <c r="AJ44" s="15"/>
      <c r="AK44" s="15"/>
      <c r="AL44" s="15"/>
      <c r="AM44" s="15"/>
      <c r="AN44" s="15"/>
      <c r="AO44" s="15"/>
    </row>
    <row r="45" spans="1:41" ht="16.5" hidden="1" x14ac:dyDescent="0.2">
      <c r="A45" s="15"/>
      <c r="B45" s="15"/>
      <c r="C45" s="15"/>
      <c r="D45" s="15"/>
      <c r="E45" s="46">
        <f t="shared" si="5"/>
        <v>0</v>
      </c>
      <c r="F45" s="15"/>
      <c r="G45" s="15"/>
      <c r="H45" s="15"/>
      <c r="I45" s="158" t="str">
        <f>"  Amort.(Principal) Op. "&amp;Proposta!I20&amp;" - "&amp;Proposta!J20</f>
        <v xml:space="preserve">  Amort.(Principal) Op. 6 - </v>
      </c>
      <c r="J45" s="158"/>
      <c r="K45" s="158"/>
      <c r="L45" s="154">
        <f>IF(Proposta!$Y$20="Sim",'Capacidade_de_Pagamento-Temp'!L45,'Capacidade_de_Pagamento-Temp-A'!L45)</f>
        <v>0</v>
      </c>
      <c r="M45" s="154">
        <f>IF(Proposta!$Y$20="Sim",'Capacidade_de_Pagamento-Temp'!M45,'Capacidade_de_Pagamento-Temp-A'!M45)</f>
        <v>0</v>
      </c>
      <c r="N45" s="154">
        <f>IF(Proposta!$Y$20="Sim",'Capacidade_de_Pagamento-Temp'!N45,'Capacidade_de_Pagamento-Temp-A'!N45)</f>
        <v>0</v>
      </c>
      <c r="O45" s="154">
        <f>IF(Proposta!$Y$20="Sim",'Capacidade_de_Pagamento-Temp'!O45,'Capacidade_de_Pagamento-Temp-A'!O45)</f>
        <v>0</v>
      </c>
      <c r="P45" s="154">
        <f>IF(Proposta!$Y$20="Sim",'Capacidade_de_Pagamento-Temp'!P45,'Capacidade_de_Pagamento-Temp-A'!P45)</f>
        <v>0</v>
      </c>
      <c r="Q45" s="154">
        <f>IF(Proposta!$Y$20="Sim",'Capacidade_de_Pagamento-Temp'!Q45,'Capacidade_de_Pagamento-Temp-A'!Q45)</f>
        <v>0</v>
      </c>
      <c r="R45" s="154">
        <f>IF(Proposta!$Y$20="Sim",'Capacidade_de_Pagamento-Temp'!R45,'Capacidade_de_Pagamento-Temp-A'!R45)</f>
        <v>0</v>
      </c>
      <c r="S45" s="154">
        <f>IF(Proposta!$Y$20="Sim",'Capacidade_de_Pagamento-Temp'!S45,'Capacidade_de_Pagamento-Temp-A'!S45)</f>
        <v>0</v>
      </c>
      <c r="T45" s="154">
        <f>IF(Proposta!$Y$20="Sim",'Capacidade_de_Pagamento-Temp'!T45,'Capacidade_de_Pagamento-Temp-A'!T45)</f>
        <v>0</v>
      </c>
      <c r="U45" s="154">
        <f>IF(Proposta!$Y$20="Sim",'Capacidade_de_Pagamento-Temp'!U45,'Capacidade_de_Pagamento-Temp-A'!U45)</f>
        <v>0</v>
      </c>
      <c r="V45" s="155">
        <f>IF(Proposta!$Y$20="Sim",'Capacidade_de_Pagamento-Temp'!V45,'Capacidade_de_Pagamento-Temp-A'!V45)</f>
        <v>0</v>
      </c>
      <c r="W45" s="155">
        <f>IF(Proposta!$Y$20="Sim",'Capacidade_de_Pagamento-Temp'!W45,'Capacidade_de_Pagamento-Temp-A'!W45)</f>
        <v>0</v>
      </c>
      <c r="X45" s="155">
        <f>IF(Proposta!$Y$20="Sim",'Capacidade_de_Pagamento-Temp'!X45,'Capacidade_de_Pagamento-Temp-A'!X45)</f>
        <v>0</v>
      </c>
      <c r="Y45" s="155">
        <f>IF(Proposta!$Y$20="Sim",'Capacidade_de_Pagamento-Temp'!Y45,'Capacidade_de_Pagamento-Temp-A'!Y45)</f>
        <v>0</v>
      </c>
      <c r="Z45" s="155">
        <f>IF(Proposta!$Y$20="Sim",'Capacidade_de_Pagamento-Temp'!Z45,'Capacidade_de_Pagamento-Temp-A'!Z45)</f>
        <v>0</v>
      </c>
      <c r="AA45" s="155">
        <f>IF(Proposta!$Y$20="Sim",'Capacidade_de_Pagamento-Temp'!AA45,'Capacidade_de_Pagamento-Temp-A'!AA45)</f>
        <v>0</v>
      </c>
      <c r="AB45" s="155">
        <f>IF(Proposta!$Y$20="Sim",'Capacidade_de_Pagamento-Temp'!AB45,'Capacidade_de_Pagamento-Temp-A'!AB45)</f>
        <v>0</v>
      </c>
      <c r="AC45" s="155">
        <f>IF(Proposta!$Y$20="Sim",'Capacidade_de_Pagamento-Temp'!AC45,'Capacidade_de_Pagamento-Temp-A'!AC45)</f>
        <v>0</v>
      </c>
      <c r="AD45" s="155">
        <f>IF(Proposta!$Y$20="Sim",'Capacidade_de_Pagamento-Temp'!AD45,'Capacidade_de_Pagamento-Temp-A'!AD45)</f>
        <v>0</v>
      </c>
      <c r="AE45" s="155">
        <f>IF(Proposta!$Y$20="Sim",'Capacidade_de_Pagamento-Temp'!AE45,'Capacidade_de_Pagamento-Temp-A'!AE45)</f>
        <v>0</v>
      </c>
      <c r="AF45" s="15"/>
      <c r="AG45" s="15"/>
      <c r="AH45" s="15"/>
      <c r="AI45" s="15"/>
      <c r="AJ45" s="15"/>
      <c r="AK45" s="15"/>
      <c r="AL45" s="15"/>
      <c r="AM45" s="15"/>
      <c r="AN45" s="15"/>
      <c r="AO45" s="15"/>
    </row>
    <row r="46" spans="1:41" ht="16.5" hidden="1" x14ac:dyDescent="0.2">
      <c r="A46" s="15"/>
      <c r="B46" s="15"/>
      <c r="C46" s="15"/>
      <c r="D46" s="15"/>
      <c r="E46" s="46">
        <f t="shared" si="5"/>
        <v>0</v>
      </c>
      <c r="F46" s="15"/>
      <c r="G46" s="15"/>
      <c r="H46" s="15"/>
      <c r="I46" s="158" t="str">
        <f>"  Amort.(Principal) Op. "&amp;Proposta!I21&amp;" - "&amp;Proposta!J21</f>
        <v xml:space="preserve">  Amort.(Principal) Op. 7 - </v>
      </c>
      <c r="J46" s="158"/>
      <c r="K46" s="158"/>
      <c r="L46" s="154">
        <f>IF(Proposta!$Y$21="Sim",'Capacidade_de_Pagamento-Temp'!L46,'Capacidade_de_Pagamento-Temp-A'!L46)</f>
        <v>0</v>
      </c>
      <c r="M46" s="154">
        <f>IF(Proposta!$Y$21="Sim",'Capacidade_de_Pagamento-Temp'!M46,'Capacidade_de_Pagamento-Temp-A'!M46)</f>
        <v>0</v>
      </c>
      <c r="N46" s="154">
        <f>IF(Proposta!$Y$21="Sim",'Capacidade_de_Pagamento-Temp'!N46,'Capacidade_de_Pagamento-Temp-A'!N46)</f>
        <v>0</v>
      </c>
      <c r="O46" s="154">
        <f>IF(Proposta!$Y$21="Sim",'Capacidade_de_Pagamento-Temp'!O46,'Capacidade_de_Pagamento-Temp-A'!O46)</f>
        <v>0</v>
      </c>
      <c r="P46" s="154">
        <f>IF(Proposta!$Y$21="Sim",'Capacidade_de_Pagamento-Temp'!P46,'Capacidade_de_Pagamento-Temp-A'!P46)</f>
        <v>0</v>
      </c>
      <c r="Q46" s="154">
        <f>IF(Proposta!$Y$21="Sim",'Capacidade_de_Pagamento-Temp'!Q46,'Capacidade_de_Pagamento-Temp-A'!Q46)</f>
        <v>0</v>
      </c>
      <c r="R46" s="154">
        <f>IF(Proposta!$Y$21="Sim",'Capacidade_de_Pagamento-Temp'!R46,'Capacidade_de_Pagamento-Temp-A'!R46)</f>
        <v>0</v>
      </c>
      <c r="S46" s="154">
        <f>IF(Proposta!$Y$21="Sim",'Capacidade_de_Pagamento-Temp'!S46,'Capacidade_de_Pagamento-Temp-A'!S46)</f>
        <v>0</v>
      </c>
      <c r="T46" s="154">
        <f>IF(Proposta!$Y$21="Sim",'Capacidade_de_Pagamento-Temp'!T46,'Capacidade_de_Pagamento-Temp-A'!T46)</f>
        <v>0</v>
      </c>
      <c r="U46" s="154">
        <f>IF(Proposta!$Y$21="Sim",'Capacidade_de_Pagamento-Temp'!U46,'Capacidade_de_Pagamento-Temp-A'!U46)</f>
        <v>0</v>
      </c>
      <c r="V46" s="155">
        <f>IF(Proposta!$Y$21="Sim",'Capacidade_de_Pagamento-Temp'!V46,'Capacidade_de_Pagamento-Temp-A'!V46)</f>
        <v>0</v>
      </c>
      <c r="W46" s="155">
        <f>IF(Proposta!$Y$21="Sim",'Capacidade_de_Pagamento-Temp'!W46,'Capacidade_de_Pagamento-Temp-A'!W46)</f>
        <v>0</v>
      </c>
      <c r="X46" s="155">
        <f>IF(Proposta!$Y$21="Sim",'Capacidade_de_Pagamento-Temp'!X46,'Capacidade_de_Pagamento-Temp-A'!X46)</f>
        <v>0</v>
      </c>
      <c r="Y46" s="155">
        <f>IF(Proposta!$Y$21="Sim",'Capacidade_de_Pagamento-Temp'!Y46,'Capacidade_de_Pagamento-Temp-A'!Y46)</f>
        <v>0</v>
      </c>
      <c r="Z46" s="155">
        <f>IF(Proposta!$Y$21="Sim",'Capacidade_de_Pagamento-Temp'!Z46,'Capacidade_de_Pagamento-Temp-A'!Z46)</f>
        <v>0</v>
      </c>
      <c r="AA46" s="155">
        <f>IF(Proposta!$Y$21="Sim",'Capacidade_de_Pagamento-Temp'!AA46,'Capacidade_de_Pagamento-Temp-A'!AA46)</f>
        <v>0</v>
      </c>
      <c r="AB46" s="155">
        <f>IF(Proposta!$Y$21="Sim",'Capacidade_de_Pagamento-Temp'!AB46,'Capacidade_de_Pagamento-Temp-A'!AB46)</f>
        <v>0</v>
      </c>
      <c r="AC46" s="155">
        <f>IF(Proposta!$Y$21="Sim",'Capacidade_de_Pagamento-Temp'!AC46,'Capacidade_de_Pagamento-Temp-A'!AC46)</f>
        <v>0</v>
      </c>
      <c r="AD46" s="155">
        <f>IF(Proposta!$Y$21="Sim",'Capacidade_de_Pagamento-Temp'!AD46,'Capacidade_de_Pagamento-Temp-A'!AD46)</f>
        <v>0</v>
      </c>
      <c r="AE46" s="155">
        <f>IF(Proposta!$Y$21="Sim",'Capacidade_de_Pagamento-Temp'!AE46,'Capacidade_de_Pagamento-Temp-A'!AE46)</f>
        <v>0</v>
      </c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spans="1:41" ht="16.5" hidden="1" x14ac:dyDescent="0.2">
      <c r="A47" s="15"/>
      <c r="B47" s="15"/>
      <c r="C47" s="15"/>
      <c r="D47" s="15"/>
      <c r="E47" s="46">
        <f t="shared" si="5"/>
        <v>0</v>
      </c>
      <c r="F47" s="15"/>
      <c r="G47" s="15"/>
      <c r="H47" s="15"/>
      <c r="I47" s="158" t="str">
        <f>"  Amort.(Principal) Op. "&amp;Proposta!I22&amp;" - "&amp;Proposta!J22</f>
        <v xml:space="preserve">  Amort.(Principal) Op. 8 - </v>
      </c>
      <c r="J47" s="158"/>
      <c r="K47" s="158"/>
      <c r="L47" s="154">
        <f>IF(Proposta!$Y$22="Sim",'Capacidade_de_Pagamento-Temp'!L47,'Capacidade_de_Pagamento-Temp-A'!L47)</f>
        <v>0</v>
      </c>
      <c r="M47" s="154">
        <f>IF(Proposta!$Y$22="Sim",'Capacidade_de_Pagamento-Temp'!M47,'Capacidade_de_Pagamento-Temp-A'!M47)</f>
        <v>0</v>
      </c>
      <c r="N47" s="154">
        <f>IF(Proposta!$Y$22="Sim",'Capacidade_de_Pagamento-Temp'!N47,'Capacidade_de_Pagamento-Temp-A'!N47)</f>
        <v>0</v>
      </c>
      <c r="O47" s="154">
        <f>IF(Proposta!$Y$22="Sim",'Capacidade_de_Pagamento-Temp'!O47,'Capacidade_de_Pagamento-Temp-A'!O47)</f>
        <v>0</v>
      </c>
      <c r="P47" s="154">
        <f>IF(Proposta!$Y$22="Sim",'Capacidade_de_Pagamento-Temp'!P47,'Capacidade_de_Pagamento-Temp-A'!P47)</f>
        <v>0</v>
      </c>
      <c r="Q47" s="154">
        <f>IF(Proposta!$Y$22="Sim",'Capacidade_de_Pagamento-Temp'!Q47,'Capacidade_de_Pagamento-Temp-A'!Q47)</f>
        <v>0</v>
      </c>
      <c r="R47" s="154">
        <f>IF(Proposta!$Y$22="Sim",'Capacidade_de_Pagamento-Temp'!R47,'Capacidade_de_Pagamento-Temp-A'!R47)</f>
        <v>0</v>
      </c>
      <c r="S47" s="154">
        <f>IF(Proposta!$Y$22="Sim",'Capacidade_de_Pagamento-Temp'!S47,'Capacidade_de_Pagamento-Temp-A'!S47)</f>
        <v>0</v>
      </c>
      <c r="T47" s="154">
        <f>IF(Proposta!$Y$22="Sim",'Capacidade_de_Pagamento-Temp'!T47,'Capacidade_de_Pagamento-Temp-A'!T47)</f>
        <v>0</v>
      </c>
      <c r="U47" s="154">
        <f>IF(Proposta!$Y$22="Sim",'Capacidade_de_Pagamento-Temp'!U47,'Capacidade_de_Pagamento-Temp-A'!U47)</f>
        <v>0</v>
      </c>
      <c r="V47" s="155">
        <f>IF(Proposta!$Y$22="Sim",'Capacidade_de_Pagamento-Temp'!V47,'Capacidade_de_Pagamento-Temp-A'!V47)</f>
        <v>0</v>
      </c>
      <c r="W47" s="155">
        <f>IF(Proposta!$Y$22="Sim",'Capacidade_de_Pagamento-Temp'!W47,'Capacidade_de_Pagamento-Temp-A'!W47)</f>
        <v>0</v>
      </c>
      <c r="X47" s="155">
        <f>IF(Proposta!$Y$22="Sim",'Capacidade_de_Pagamento-Temp'!X47,'Capacidade_de_Pagamento-Temp-A'!X47)</f>
        <v>0</v>
      </c>
      <c r="Y47" s="155">
        <f>IF(Proposta!$Y$22="Sim",'Capacidade_de_Pagamento-Temp'!Y47,'Capacidade_de_Pagamento-Temp-A'!Y47)</f>
        <v>0</v>
      </c>
      <c r="Z47" s="155">
        <f>IF(Proposta!$Y$22="Sim",'Capacidade_de_Pagamento-Temp'!Z47,'Capacidade_de_Pagamento-Temp-A'!Z47)</f>
        <v>0</v>
      </c>
      <c r="AA47" s="155">
        <f>IF(Proposta!$Y$22="Sim",'Capacidade_de_Pagamento-Temp'!AA47,'Capacidade_de_Pagamento-Temp-A'!AA47)</f>
        <v>0</v>
      </c>
      <c r="AB47" s="155">
        <f>IF(Proposta!$Y$22="Sim",'Capacidade_de_Pagamento-Temp'!AB47,'Capacidade_de_Pagamento-Temp-A'!AB47)</f>
        <v>0</v>
      </c>
      <c r="AC47" s="155">
        <f>IF(Proposta!$Y$22="Sim",'Capacidade_de_Pagamento-Temp'!AC47,'Capacidade_de_Pagamento-Temp-A'!AC47)</f>
        <v>0</v>
      </c>
      <c r="AD47" s="155">
        <f>IF(Proposta!$Y$22="Sim",'Capacidade_de_Pagamento-Temp'!AD47,'Capacidade_de_Pagamento-Temp-A'!AD47)</f>
        <v>0</v>
      </c>
      <c r="AE47" s="155">
        <f>IF(Proposta!$Y$22="Sim",'Capacidade_de_Pagamento-Temp'!AE47,'Capacidade_de_Pagamento-Temp-A'!AE47)</f>
        <v>0</v>
      </c>
      <c r="AF47" s="15"/>
      <c r="AG47" s="15"/>
      <c r="AH47" s="15"/>
      <c r="AI47" s="15"/>
      <c r="AJ47" s="15"/>
      <c r="AK47" s="15"/>
      <c r="AL47" s="15"/>
      <c r="AM47" s="15"/>
      <c r="AN47" s="15"/>
      <c r="AO47" s="15"/>
    </row>
    <row r="48" spans="1:41" ht="16.5" hidden="1" x14ac:dyDescent="0.2">
      <c r="A48" s="15"/>
      <c r="B48" s="15"/>
      <c r="C48" s="15"/>
      <c r="D48" s="15"/>
      <c r="E48" s="46">
        <f t="shared" si="5"/>
        <v>0</v>
      </c>
      <c r="F48" s="15"/>
      <c r="G48" s="15"/>
      <c r="H48" s="15"/>
      <c r="I48" s="158" t="str">
        <f>"  Amort.(Principal) Op. "&amp;Proposta!I23&amp;" - "&amp;Proposta!J23</f>
        <v xml:space="preserve">  Amort.(Principal) Op. 9 - </v>
      </c>
      <c r="J48" s="158"/>
      <c r="K48" s="158"/>
      <c r="L48" s="154">
        <f>IF(Proposta!$Y$23="Sim",'Capacidade_de_Pagamento-Temp'!L48,'Capacidade_de_Pagamento-Temp-A'!L48)</f>
        <v>0</v>
      </c>
      <c r="M48" s="154">
        <f>IF(Proposta!$Y$23="Sim",'Capacidade_de_Pagamento-Temp'!M48,'Capacidade_de_Pagamento-Temp-A'!M48)</f>
        <v>0</v>
      </c>
      <c r="N48" s="154">
        <f>IF(Proposta!$Y$23="Sim",'Capacidade_de_Pagamento-Temp'!N48,'Capacidade_de_Pagamento-Temp-A'!N48)</f>
        <v>0</v>
      </c>
      <c r="O48" s="154">
        <f>IF(Proposta!$Y$23="Sim",'Capacidade_de_Pagamento-Temp'!O48,'Capacidade_de_Pagamento-Temp-A'!O48)</f>
        <v>0</v>
      </c>
      <c r="P48" s="154">
        <f>IF(Proposta!$Y$23="Sim",'Capacidade_de_Pagamento-Temp'!P48,'Capacidade_de_Pagamento-Temp-A'!P48)</f>
        <v>0</v>
      </c>
      <c r="Q48" s="154">
        <f>IF(Proposta!$Y$23="Sim",'Capacidade_de_Pagamento-Temp'!Q48,'Capacidade_de_Pagamento-Temp-A'!Q48)</f>
        <v>0</v>
      </c>
      <c r="R48" s="154">
        <f>IF(Proposta!$Y$23="Sim",'Capacidade_de_Pagamento-Temp'!R48,'Capacidade_de_Pagamento-Temp-A'!R48)</f>
        <v>0</v>
      </c>
      <c r="S48" s="154">
        <f>IF(Proposta!$Y$23="Sim",'Capacidade_de_Pagamento-Temp'!S48,'Capacidade_de_Pagamento-Temp-A'!S48)</f>
        <v>0</v>
      </c>
      <c r="T48" s="154">
        <f>IF(Proposta!$Y$23="Sim",'Capacidade_de_Pagamento-Temp'!T48,'Capacidade_de_Pagamento-Temp-A'!T48)</f>
        <v>0</v>
      </c>
      <c r="U48" s="154">
        <f>IF(Proposta!$Y$23="Sim",'Capacidade_de_Pagamento-Temp'!U48,'Capacidade_de_Pagamento-Temp-A'!U48)</f>
        <v>0</v>
      </c>
      <c r="V48" s="155">
        <f>IF(Proposta!$Y$23="Sim",'Capacidade_de_Pagamento-Temp'!V48,'Capacidade_de_Pagamento-Temp-A'!V48)</f>
        <v>0</v>
      </c>
      <c r="W48" s="155">
        <f>IF(Proposta!$Y$23="Sim",'Capacidade_de_Pagamento-Temp'!W48,'Capacidade_de_Pagamento-Temp-A'!W48)</f>
        <v>0</v>
      </c>
      <c r="X48" s="155">
        <f>IF(Proposta!$Y$23="Sim",'Capacidade_de_Pagamento-Temp'!X48,'Capacidade_de_Pagamento-Temp-A'!X48)</f>
        <v>0</v>
      </c>
      <c r="Y48" s="155">
        <f>IF(Proposta!$Y$23="Sim",'Capacidade_de_Pagamento-Temp'!Y48,'Capacidade_de_Pagamento-Temp-A'!Y48)</f>
        <v>0</v>
      </c>
      <c r="Z48" s="155">
        <f>IF(Proposta!$Y$23="Sim",'Capacidade_de_Pagamento-Temp'!Z48,'Capacidade_de_Pagamento-Temp-A'!Z48)</f>
        <v>0</v>
      </c>
      <c r="AA48" s="155">
        <f>IF(Proposta!$Y$23="Sim",'Capacidade_de_Pagamento-Temp'!AA48,'Capacidade_de_Pagamento-Temp-A'!AA48)</f>
        <v>0</v>
      </c>
      <c r="AB48" s="155">
        <f>IF(Proposta!$Y$23="Sim",'Capacidade_de_Pagamento-Temp'!AB48,'Capacidade_de_Pagamento-Temp-A'!AB48)</f>
        <v>0</v>
      </c>
      <c r="AC48" s="155">
        <f>IF(Proposta!$Y$23="Sim",'Capacidade_de_Pagamento-Temp'!AC48,'Capacidade_de_Pagamento-Temp-A'!AC48)</f>
        <v>0</v>
      </c>
      <c r="AD48" s="155">
        <f>IF(Proposta!$Y$23="Sim",'Capacidade_de_Pagamento-Temp'!AD48,'Capacidade_de_Pagamento-Temp-A'!AD48)</f>
        <v>0</v>
      </c>
      <c r="AE48" s="155">
        <f>IF(Proposta!$Y$23="Sim",'Capacidade_de_Pagamento-Temp'!AE48,'Capacidade_de_Pagamento-Temp-A'!AE48)</f>
        <v>0</v>
      </c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spans="1:41" ht="16.5" hidden="1" x14ac:dyDescent="0.2">
      <c r="A49" s="15"/>
      <c r="B49" s="15"/>
      <c r="C49" s="15"/>
      <c r="D49" s="15"/>
      <c r="E49" s="46">
        <f t="shared" si="5"/>
        <v>0</v>
      </c>
      <c r="F49" s="15"/>
      <c r="G49" s="15"/>
      <c r="H49" s="15"/>
      <c r="I49" s="158" t="str">
        <f>"  Amort.(Principal) Op. "&amp;Proposta!I24&amp;" - "&amp;Proposta!J24</f>
        <v xml:space="preserve">  Amort.(Principal) Op. 10 - </v>
      </c>
      <c r="J49" s="158"/>
      <c r="K49" s="158"/>
      <c r="L49" s="154">
        <f>IF(Proposta!$Y$24="Sim",'Capacidade_de_Pagamento-Temp'!L49,'Capacidade_de_Pagamento-Temp-A'!L49)</f>
        <v>0</v>
      </c>
      <c r="M49" s="154">
        <f>IF(Proposta!$Y$24="Sim",'Capacidade_de_Pagamento-Temp'!M49,'Capacidade_de_Pagamento-Temp-A'!M49)</f>
        <v>0</v>
      </c>
      <c r="N49" s="154">
        <f>IF(Proposta!$Y$24="Sim",'Capacidade_de_Pagamento-Temp'!N49,'Capacidade_de_Pagamento-Temp-A'!N49)</f>
        <v>0</v>
      </c>
      <c r="O49" s="154">
        <f>IF(Proposta!$Y$24="Sim",'Capacidade_de_Pagamento-Temp'!O49,'Capacidade_de_Pagamento-Temp-A'!O49)</f>
        <v>0</v>
      </c>
      <c r="P49" s="154">
        <f>IF(Proposta!$Y$24="Sim",'Capacidade_de_Pagamento-Temp'!P49,'Capacidade_de_Pagamento-Temp-A'!P49)</f>
        <v>0</v>
      </c>
      <c r="Q49" s="154">
        <f>IF(Proposta!$Y$24="Sim",'Capacidade_de_Pagamento-Temp'!Q49,'Capacidade_de_Pagamento-Temp-A'!Q49)</f>
        <v>0</v>
      </c>
      <c r="R49" s="154">
        <f>IF(Proposta!$Y$24="Sim",'Capacidade_de_Pagamento-Temp'!R49,'Capacidade_de_Pagamento-Temp-A'!R49)</f>
        <v>0</v>
      </c>
      <c r="S49" s="154">
        <f>IF(Proposta!$Y$24="Sim",'Capacidade_de_Pagamento-Temp'!S49,'Capacidade_de_Pagamento-Temp-A'!S49)</f>
        <v>0</v>
      </c>
      <c r="T49" s="154">
        <f>IF(Proposta!$Y$24="Sim",'Capacidade_de_Pagamento-Temp'!T49,'Capacidade_de_Pagamento-Temp-A'!T49)</f>
        <v>0</v>
      </c>
      <c r="U49" s="154">
        <f>IF(Proposta!$Y$24="Sim",'Capacidade_de_Pagamento-Temp'!U49,'Capacidade_de_Pagamento-Temp-A'!U49)</f>
        <v>0</v>
      </c>
      <c r="V49" s="155">
        <f>IF(Proposta!$Y$24="Sim",'Capacidade_de_Pagamento-Temp'!V49,'Capacidade_de_Pagamento-Temp-A'!V49)</f>
        <v>0</v>
      </c>
      <c r="W49" s="155">
        <f>IF(Proposta!$Y$24="Sim",'Capacidade_de_Pagamento-Temp'!W49,'Capacidade_de_Pagamento-Temp-A'!W49)</f>
        <v>0</v>
      </c>
      <c r="X49" s="155">
        <f>IF(Proposta!$Y$24="Sim",'Capacidade_de_Pagamento-Temp'!X49,'Capacidade_de_Pagamento-Temp-A'!X49)</f>
        <v>0</v>
      </c>
      <c r="Y49" s="155">
        <f>IF(Proposta!$Y$24="Sim",'Capacidade_de_Pagamento-Temp'!Y49,'Capacidade_de_Pagamento-Temp-A'!Y49)</f>
        <v>0</v>
      </c>
      <c r="Z49" s="155">
        <f>IF(Proposta!$Y$24="Sim",'Capacidade_de_Pagamento-Temp'!Z49,'Capacidade_de_Pagamento-Temp-A'!Z49)</f>
        <v>0</v>
      </c>
      <c r="AA49" s="155">
        <f>IF(Proposta!$Y$24="Sim",'Capacidade_de_Pagamento-Temp'!AA49,'Capacidade_de_Pagamento-Temp-A'!AA49)</f>
        <v>0</v>
      </c>
      <c r="AB49" s="155">
        <f>IF(Proposta!$Y$24="Sim",'Capacidade_de_Pagamento-Temp'!AB49,'Capacidade_de_Pagamento-Temp-A'!AB49)</f>
        <v>0</v>
      </c>
      <c r="AC49" s="155">
        <f>IF(Proposta!$Y$24="Sim",'Capacidade_de_Pagamento-Temp'!AC49,'Capacidade_de_Pagamento-Temp-A'!AC49)</f>
        <v>0</v>
      </c>
      <c r="AD49" s="155">
        <f>IF(Proposta!$Y$24="Sim",'Capacidade_de_Pagamento-Temp'!AD49,'Capacidade_de_Pagamento-Temp-A'!AD49)</f>
        <v>0</v>
      </c>
      <c r="AE49" s="155">
        <f>IF(Proposta!$Y$24="Sim",'Capacidade_de_Pagamento-Temp'!AE49,'Capacidade_de_Pagamento-Temp-A'!AE49)</f>
        <v>0</v>
      </c>
      <c r="AF49" s="15"/>
      <c r="AG49" s="15"/>
      <c r="AH49" s="15"/>
      <c r="AI49" s="15"/>
      <c r="AJ49" s="15"/>
      <c r="AK49" s="15"/>
      <c r="AL49" s="15"/>
      <c r="AM49" s="15"/>
      <c r="AN49" s="15"/>
      <c r="AO49" s="15"/>
    </row>
    <row r="50" spans="1:41" ht="16.5" hidden="1" x14ac:dyDescent="0.2">
      <c r="A50" s="15"/>
      <c r="B50" s="15"/>
      <c r="C50" s="15"/>
      <c r="D50" s="15"/>
      <c r="E50" s="46">
        <f t="shared" si="5"/>
        <v>0</v>
      </c>
      <c r="F50" s="15"/>
      <c r="G50" s="15"/>
      <c r="H50" s="15"/>
      <c r="I50" s="158" t="str">
        <f>"  Amort.(Principal) Op. "&amp;Proposta!I25&amp;" - "&amp;Proposta!J25</f>
        <v xml:space="preserve">  Amort.(Principal) Op. 11 - </v>
      </c>
      <c r="J50" s="158"/>
      <c r="K50" s="158"/>
      <c r="L50" s="154">
        <f>IF(Proposta!$Y$25="Sim",'Capacidade_de_Pagamento-Temp'!L50,'Capacidade_de_Pagamento-Temp-A'!L50)</f>
        <v>0</v>
      </c>
      <c r="M50" s="154">
        <f>IF(Proposta!$Y$25="Sim",'Capacidade_de_Pagamento-Temp'!M50,'Capacidade_de_Pagamento-Temp-A'!M50)</f>
        <v>0</v>
      </c>
      <c r="N50" s="154">
        <f>IF(Proposta!$Y$25="Sim",'Capacidade_de_Pagamento-Temp'!N50,'Capacidade_de_Pagamento-Temp-A'!N50)</f>
        <v>0</v>
      </c>
      <c r="O50" s="154">
        <f>IF(Proposta!$Y$25="Sim",'Capacidade_de_Pagamento-Temp'!O50,'Capacidade_de_Pagamento-Temp-A'!O50)</f>
        <v>0</v>
      </c>
      <c r="P50" s="154">
        <f>IF(Proposta!$Y$25="Sim",'Capacidade_de_Pagamento-Temp'!P50,'Capacidade_de_Pagamento-Temp-A'!P50)</f>
        <v>0</v>
      </c>
      <c r="Q50" s="154">
        <f>IF(Proposta!$Y$25="Sim",'Capacidade_de_Pagamento-Temp'!Q50,'Capacidade_de_Pagamento-Temp-A'!Q50)</f>
        <v>0</v>
      </c>
      <c r="R50" s="154">
        <f>IF(Proposta!$Y$25="Sim",'Capacidade_de_Pagamento-Temp'!R50,'Capacidade_de_Pagamento-Temp-A'!R50)</f>
        <v>0</v>
      </c>
      <c r="S50" s="154">
        <f>IF(Proposta!$Y$25="Sim",'Capacidade_de_Pagamento-Temp'!S50,'Capacidade_de_Pagamento-Temp-A'!S50)</f>
        <v>0</v>
      </c>
      <c r="T50" s="154">
        <f>IF(Proposta!$Y$25="Sim",'Capacidade_de_Pagamento-Temp'!T50,'Capacidade_de_Pagamento-Temp-A'!T50)</f>
        <v>0</v>
      </c>
      <c r="U50" s="154">
        <f>IF(Proposta!$Y$25="Sim",'Capacidade_de_Pagamento-Temp'!U50,'Capacidade_de_Pagamento-Temp-A'!U50)</f>
        <v>0</v>
      </c>
      <c r="V50" s="155">
        <f>IF(Proposta!$Y$25="Sim",'Capacidade_de_Pagamento-Temp'!V50,'Capacidade_de_Pagamento-Temp-A'!V50)</f>
        <v>0</v>
      </c>
      <c r="W50" s="155">
        <f>IF(Proposta!$Y$25="Sim",'Capacidade_de_Pagamento-Temp'!W50,'Capacidade_de_Pagamento-Temp-A'!W50)</f>
        <v>0</v>
      </c>
      <c r="X50" s="155">
        <f>IF(Proposta!$Y$25="Sim",'Capacidade_de_Pagamento-Temp'!X50,'Capacidade_de_Pagamento-Temp-A'!X50)</f>
        <v>0</v>
      </c>
      <c r="Y50" s="155">
        <f>IF(Proposta!$Y$25="Sim",'Capacidade_de_Pagamento-Temp'!Y50,'Capacidade_de_Pagamento-Temp-A'!Y50)</f>
        <v>0</v>
      </c>
      <c r="Z50" s="155">
        <f>IF(Proposta!$Y$25="Sim",'Capacidade_de_Pagamento-Temp'!Z50,'Capacidade_de_Pagamento-Temp-A'!Z50)</f>
        <v>0</v>
      </c>
      <c r="AA50" s="155">
        <f>IF(Proposta!$Y$25="Sim",'Capacidade_de_Pagamento-Temp'!AA50,'Capacidade_de_Pagamento-Temp-A'!AA50)</f>
        <v>0</v>
      </c>
      <c r="AB50" s="155">
        <f>IF(Proposta!$Y$25="Sim",'Capacidade_de_Pagamento-Temp'!AB50,'Capacidade_de_Pagamento-Temp-A'!AB50)</f>
        <v>0</v>
      </c>
      <c r="AC50" s="155">
        <f>IF(Proposta!$Y$25="Sim",'Capacidade_de_Pagamento-Temp'!AC50,'Capacidade_de_Pagamento-Temp-A'!AC50)</f>
        <v>0</v>
      </c>
      <c r="AD50" s="155">
        <f>IF(Proposta!$Y$25="Sim",'Capacidade_de_Pagamento-Temp'!AD50,'Capacidade_de_Pagamento-Temp-A'!AD50)</f>
        <v>0</v>
      </c>
      <c r="AE50" s="155">
        <f>IF(Proposta!$Y$25="Sim",'Capacidade_de_Pagamento-Temp'!AE50,'Capacidade_de_Pagamento-Temp-A'!AE50)</f>
        <v>0</v>
      </c>
      <c r="AF50" s="15"/>
      <c r="AG50" s="15"/>
      <c r="AH50" s="15"/>
      <c r="AI50" s="15"/>
      <c r="AJ50" s="15"/>
      <c r="AK50" s="15"/>
      <c r="AL50" s="15"/>
      <c r="AM50" s="15"/>
      <c r="AN50" s="15"/>
      <c r="AO50" s="15"/>
    </row>
    <row r="51" spans="1:41" ht="16.5" hidden="1" x14ac:dyDescent="0.2">
      <c r="A51" s="15"/>
      <c r="B51" s="15"/>
      <c r="C51" s="15"/>
      <c r="D51" s="15"/>
      <c r="E51" s="46">
        <f t="shared" si="5"/>
        <v>0</v>
      </c>
      <c r="F51" s="15"/>
      <c r="G51" s="15"/>
      <c r="H51" s="15"/>
      <c r="I51" s="158" t="str">
        <f>"  Amort.(Principal) Op. "&amp;Proposta!I26&amp;" - "&amp;Proposta!J26</f>
        <v xml:space="preserve">  Amort.(Principal) Op. 12 - </v>
      </c>
      <c r="J51" s="158"/>
      <c r="K51" s="158"/>
      <c r="L51" s="154">
        <f>IF(Proposta!$Y$26="Sim",'Capacidade_de_Pagamento-Temp'!L51,'Capacidade_de_Pagamento-Temp-A'!L51)</f>
        <v>0</v>
      </c>
      <c r="M51" s="154">
        <f>IF(Proposta!$Y$26="Sim",'Capacidade_de_Pagamento-Temp'!M51,'Capacidade_de_Pagamento-Temp-A'!M51)</f>
        <v>0</v>
      </c>
      <c r="N51" s="154">
        <f>IF(Proposta!$Y$26="Sim",'Capacidade_de_Pagamento-Temp'!N51,'Capacidade_de_Pagamento-Temp-A'!N51)</f>
        <v>0</v>
      </c>
      <c r="O51" s="154">
        <f>IF(Proposta!$Y$26="Sim",'Capacidade_de_Pagamento-Temp'!O51,'Capacidade_de_Pagamento-Temp-A'!O51)</f>
        <v>0</v>
      </c>
      <c r="P51" s="154">
        <f>IF(Proposta!$Y$26="Sim",'Capacidade_de_Pagamento-Temp'!P51,'Capacidade_de_Pagamento-Temp-A'!P51)</f>
        <v>0</v>
      </c>
      <c r="Q51" s="154">
        <f>IF(Proposta!$Y$26="Sim",'Capacidade_de_Pagamento-Temp'!Q51,'Capacidade_de_Pagamento-Temp-A'!Q51)</f>
        <v>0</v>
      </c>
      <c r="R51" s="154">
        <f>IF(Proposta!$Y$26="Sim",'Capacidade_de_Pagamento-Temp'!R51,'Capacidade_de_Pagamento-Temp-A'!R51)</f>
        <v>0</v>
      </c>
      <c r="S51" s="154">
        <f>IF(Proposta!$Y$26="Sim",'Capacidade_de_Pagamento-Temp'!S51,'Capacidade_de_Pagamento-Temp-A'!S51)</f>
        <v>0</v>
      </c>
      <c r="T51" s="154">
        <f>IF(Proposta!$Y$26="Sim",'Capacidade_de_Pagamento-Temp'!T51,'Capacidade_de_Pagamento-Temp-A'!T51)</f>
        <v>0</v>
      </c>
      <c r="U51" s="154">
        <f>IF(Proposta!$Y$26="Sim",'Capacidade_de_Pagamento-Temp'!U51,'Capacidade_de_Pagamento-Temp-A'!U51)</f>
        <v>0</v>
      </c>
      <c r="V51" s="155">
        <f>IF(Proposta!$Y$26="Sim",'Capacidade_de_Pagamento-Temp'!V51,'Capacidade_de_Pagamento-Temp-A'!V51)</f>
        <v>0</v>
      </c>
      <c r="W51" s="155">
        <f>IF(Proposta!$Y$26="Sim",'Capacidade_de_Pagamento-Temp'!W51,'Capacidade_de_Pagamento-Temp-A'!W51)</f>
        <v>0</v>
      </c>
      <c r="X51" s="155">
        <f>IF(Proposta!$Y$26="Sim",'Capacidade_de_Pagamento-Temp'!X51,'Capacidade_de_Pagamento-Temp-A'!X51)</f>
        <v>0</v>
      </c>
      <c r="Y51" s="155">
        <f>IF(Proposta!$Y$26="Sim",'Capacidade_de_Pagamento-Temp'!Y51,'Capacidade_de_Pagamento-Temp-A'!Y51)</f>
        <v>0</v>
      </c>
      <c r="Z51" s="155">
        <f>IF(Proposta!$Y$26="Sim",'Capacidade_de_Pagamento-Temp'!Z51,'Capacidade_de_Pagamento-Temp-A'!Z51)</f>
        <v>0</v>
      </c>
      <c r="AA51" s="155">
        <f>IF(Proposta!$Y$26="Sim",'Capacidade_de_Pagamento-Temp'!AA51,'Capacidade_de_Pagamento-Temp-A'!AA51)</f>
        <v>0</v>
      </c>
      <c r="AB51" s="155">
        <f>IF(Proposta!$Y$26="Sim",'Capacidade_de_Pagamento-Temp'!AB51,'Capacidade_de_Pagamento-Temp-A'!AB51)</f>
        <v>0</v>
      </c>
      <c r="AC51" s="155">
        <f>IF(Proposta!$Y$26="Sim",'Capacidade_de_Pagamento-Temp'!AC51,'Capacidade_de_Pagamento-Temp-A'!AC51)</f>
        <v>0</v>
      </c>
      <c r="AD51" s="155">
        <f>IF(Proposta!$Y$26="Sim",'Capacidade_de_Pagamento-Temp'!AD51,'Capacidade_de_Pagamento-Temp-A'!AD51)</f>
        <v>0</v>
      </c>
      <c r="AE51" s="155">
        <f>IF(Proposta!$Y$26="Sim",'Capacidade_de_Pagamento-Temp'!AE51,'Capacidade_de_Pagamento-Temp-A'!AE51)</f>
        <v>0</v>
      </c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spans="1:41" ht="16.5" hidden="1" x14ac:dyDescent="0.2">
      <c r="A52" s="15"/>
      <c r="B52" s="15"/>
      <c r="C52" s="15"/>
      <c r="D52" s="15"/>
      <c r="E52" s="46">
        <f t="shared" si="5"/>
        <v>0</v>
      </c>
      <c r="F52" s="15"/>
      <c r="G52" s="15"/>
      <c r="H52" s="15"/>
      <c r="I52" s="158" t="str">
        <f>"  Amort.(Principal) Op. "&amp;Proposta!I27&amp;" - "&amp;Proposta!J27</f>
        <v xml:space="preserve">  Amort.(Principal) Op. 13 - </v>
      </c>
      <c r="J52" s="158"/>
      <c r="K52" s="158"/>
      <c r="L52" s="154">
        <f>IF(Proposta!$Y$27="Sim",'Capacidade_de_Pagamento-Temp'!L52,'Capacidade_de_Pagamento-Temp-A'!L52)</f>
        <v>0</v>
      </c>
      <c r="M52" s="154">
        <f>IF(Proposta!$Y$27="Sim",'Capacidade_de_Pagamento-Temp'!M52,'Capacidade_de_Pagamento-Temp-A'!M52)</f>
        <v>0</v>
      </c>
      <c r="N52" s="154">
        <f>IF(Proposta!$Y$27="Sim",'Capacidade_de_Pagamento-Temp'!N52,'Capacidade_de_Pagamento-Temp-A'!N52)</f>
        <v>0</v>
      </c>
      <c r="O52" s="154">
        <f>IF(Proposta!$Y$27="Sim",'Capacidade_de_Pagamento-Temp'!O52,'Capacidade_de_Pagamento-Temp-A'!O52)</f>
        <v>0</v>
      </c>
      <c r="P52" s="154">
        <f>IF(Proposta!$Y$27="Sim",'Capacidade_de_Pagamento-Temp'!P52,'Capacidade_de_Pagamento-Temp-A'!P52)</f>
        <v>0</v>
      </c>
      <c r="Q52" s="154">
        <f>IF(Proposta!$Y$27="Sim",'Capacidade_de_Pagamento-Temp'!Q52,'Capacidade_de_Pagamento-Temp-A'!Q52)</f>
        <v>0</v>
      </c>
      <c r="R52" s="154">
        <f>IF(Proposta!$Y$27="Sim",'Capacidade_de_Pagamento-Temp'!R52,'Capacidade_de_Pagamento-Temp-A'!R52)</f>
        <v>0</v>
      </c>
      <c r="S52" s="154">
        <f>IF(Proposta!$Y$27="Sim",'Capacidade_de_Pagamento-Temp'!S52,'Capacidade_de_Pagamento-Temp-A'!S52)</f>
        <v>0</v>
      </c>
      <c r="T52" s="154">
        <f>IF(Proposta!$Y$27="Sim",'Capacidade_de_Pagamento-Temp'!T52,'Capacidade_de_Pagamento-Temp-A'!T52)</f>
        <v>0</v>
      </c>
      <c r="U52" s="154">
        <f>IF(Proposta!$Y$27="Sim",'Capacidade_de_Pagamento-Temp'!U52,'Capacidade_de_Pagamento-Temp-A'!U52)</f>
        <v>0</v>
      </c>
      <c r="V52" s="155">
        <f>IF(Proposta!$Y$27="Sim",'Capacidade_de_Pagamento-Temp'!V52,'Capacidade_de_Pagamento-Temp-A'!V52)</f>
        <v>0</v>
      </c>
      <c r="W52" s="155">
        <f>IF(Proposta!$Y$27="Sim",'Capacidade_de_Pagamento-Temp'!W52,'Capacidade_de_Pagamento-Temp-A'!W52)</f>
        <v>0</v>
      </c>
      <c r="X52" s="155">
        <f>IF(Proposta!$Y$27="Sim",'Capacidade_de_Pagamento-Temp'!X52,'Capacidade_de_Pagamento-Temp-A'!X52)</f>
        <v>0</v>
      </c>
      <c r="Y52" s="155">
        <f>IF(Proposta!$Y$27="Sim",'Capacidade_de_Pagamento-Temp'!Y52,'Capacidade_de_Pagamento-Temp-A'!Y52)</f>
        <v>0</v>
      </c>
      <c r="Z52" s="155">
        <f>IF(Proposta!$Y$27="Sim",'Capacidade_de_Pagamento-Temp'!Z52,'Capacidade_de_Pagamento-Temp-A'!Z52)</f>
        <v>0</v>
      </c>
      <c r="AA52" s="155">
        <f>IF(Proposta!$Y$27="Sim",'Capacidade_de_Pagamento-Temp'!AA52,'Capacidade_de_Pagamento-Temp-A'!AA52)</f>
        <v>0</v>
      </c>
      <c r="AB52" s="155">
        <f>IF(Proposta!$Y$27="Sim",'Capacidade_de_Pagamento-Temp'!AB52,'Capacidade_de_Pagamento-Temp-A'!AB52)</f>
        <v>0</v>
      </c>
      <c r="AC52" s="155">
        <f>IF(Proposta!$Y$27="Sim",'Capacidade_de_Pagamento-Temp'!AC52,'Capacidade_de_Pagamento-Temp-A'!AC52)</f>
        <v>0</v>
      </c>
      <c r="AD52" s="155">
        <f>IF(Proposta!$Y$27="Sim",'Capacidade_de_Pagamento-Temp'!AD52,'Capacidade_de_Pagamento-Temp-A'!AD52)</f>
        <v>0</v>
      </c>
      <c r="AE52" s="155">
        <f>IF(Proposta!$Y$27="Sim",'Capacidade_de_Pagamento-Temp'!AE52,'Capacidade_de_Pagamento-Temp-A'!AE52)</f>
        <v>0</v>
      </c>
      <c r="AF52" s="15"/>
      <c r="AG52" s="15"/>
      <c r="AH52" s="15"/>
      <c r="AI52" s="15"/>
      <c r="AJ52" s="15"/>
      <c r="AK52" s="15"/>
      <c r="AL52" s="15"/>
      <c r="AM52" s="15"/>
      <c r="AN52" s="15"/>
      <c r="AO52" s="15"/>
    </row>
    <row r="53" spans="1:41" ht="16.5" hidden="1" x14ac:dyDescent="0.2">
      <c r="A53" s="15"/>
      <c r="B53" s="15"/>
      <c r="C53" s="15"/>
      <c r="D53" s="15"/>
      <c r="E53" s="46">
        <f t="shared" si="5"/>
        <v>0</v>
      </c>
      <c r="F53" s="15"/>
      <c r="G53" s="15"/>
      <c r="H53" s="15"/>
      <c r="I53" s="158" t="str">
        <f>"  Amort.(Principal) Op. "&amp;Proposta!I28&amp;" - "&amp;Proposta!J28</f>
        <v xml:space="preserve">  Amort.(Principal) Op. 14 - </v>
      </c>
      <c r="J53" s="158"/>
      <c r="K53" s="158"/>
      <c r="L53" s="154">
        <f>IF(Proposta!$Y$28="Sim",'Capacidade_de_Pagamento-Temp'!L53,'Capacidade_de_Pagamento-Temp-A'!L53)</f>
        <v>0</v>
      </c>
      <c r="M53" s="154">
        <f>IF(Proposta!$Y$28="Sim",'Capacidade_de_Pagamento-Temp'!M53,'Capacidade_de_Pagamento-Temp-A'!M53)</f>
        <v>0</v>
      </c>
      <c r="N53" s="154">
        <f>IF(Proposta!$Y$28="Sim",'Capacidade_de_Pagamento-Temp'!N53,'Capacidade_de_Pagamento-Temp-A'!N53)</f>
        <v>0</v>
      </c>
      <c r="O53" s="154">
        <f>IF(Proposta!$Y$28="Sim",'Capacidade_de_Pagamento-Temp'!O53,'Capacidade_de_Pagamento-Temp-A'!O53)</f>
        <v>0</v>
      </c>
      <c r="P53" s="154">
        <f>IF(Proposta!$Y$28="Sim",'Capacidade_de_Pagamento-Temp'!P53,'Capacidade_de_Pagamento-Temp-A'!P53)</f>
        <v>0</v>
      </c>
      <c r="Q53" s="154">
        <f>IF(Proposta!$Y$28="Sim",'Capacidade_de_Pagamento-Temp'!Q53,'Capacidade_de_Pagamento-Temp-A'!Q53)</f>
        <v>0</v>
      </c>
      <c r="R53" s="154">
        <f>IF(Proposta!$Y$28="Sim",'Capacidade_de_Pagamento-Temp'!R53,'Capacidade_de_Pagamento-Temp-A'!R53)</f>
        <v>0</v>
      </c>
      <c r="S53" s="154">
        <f>IF(Proposta!$Y$28="Sim",'Capacidade_de_Pagamento-Temp'!S53,'Capacidade_de_Pagamento-Temp-A'!S53)</f>
        <v>0</v>
      </c>
      <c r="T53" s="154">
        <f>IF(Proposta!$Y$28="Sim",'Capacidade_de_Pagamento-Temp'!T53,'Capacidade_de_Pagamento-Temp-A'!T53)</f>
        <v>0</v>
      </c>
      <c r="U53" s="154">
        <f>IF(Proposta!$Y$28="Sim",'Capacidade_de_Pagamento-Temp'!U53,'Capacidade_de_Pagamento-Temp-A'!U53)</f>
        <v>0</v>
      </c>
      <c r="V53" s="155">
        <f>IF(Proposta!$Y$28="Sim",'Capacidade_de_Pagamento-Temp'!V53,'Capacidade_de_Pagamento-Temp-A'!V53)</f>
        <v>0</v>
      </c>
      <c r="W53" s="155">
        <f>IF(Proposta!$Y$28="Sim",'Capacidade_de_Pagamento-Temp'!W53,'Capacidade_de_Pagamento-Temp-A'!W53)</f>
        <v>0</v>
      </c>
      <c r="X53" s="155">
        <f>IF(Proposta!$Y$28="Sim",'Capacidade_de_Pagamento-Temp'!X53,'Capacidade_de_Pagamento-Temp-A'!X53)</f>
        <v>0</v>
      </c>
      <c r="Y53" s="155">
        <f>IF(Proposta!$Y$28="Sim",'Capacidade_de_Pagamento-Temp'!Y53,'Capacidade_de_Pagamento-Temp-A'!Y53)</f>
        <v>0</v>
      </c>
      <c r="Z53" s="155">
        <f>IF(Proposta!$Y$28="Sim",'Capacidade_de_Pagamento-Temp'!Z53,'Capacidade_de_Pagamento-Temp-A'!Z53)</f>
        <v>0</v>
      </c>
      <c r="AA53" s="155">
        <f>IF(Proposta!$Y$28="Sim",'Capacidade_de_Pagamento-Temp'!AA53,'Capacidade_de_Pagamento-Temp-A'!AA53)</f>
        <v>0</v>
      </c>
      <c r="AB53" s="155">
        <f>IF(Proposta!$Y$28="Sim",'Capacidade_de_Pagamento-Temp'!AB53,'Capacidade_de_Pagamento-Temp-A'!AB53)</f>
        <v>0</v>
      </c>
      <c r="AC53" s="155">
        <f>IF(Proposta!$Y$28="Sim",'Capacidade_de_Pagamento-Temp'!AC53,'Capacidade_de_Pagamento-Temp-A'!AC53)</f>
        <v>0</v>
      </c>
      <c r="AD53" s="155">
        <f>IF(Proposta!$Y$28="Sim",'Capacidade_de_Pagamento-Temp'!AD53,'Capacidade_de_Pagamento-Temp-A'!AD53)</f>
        <v>0</v>
      </c>
      <c r="AE53" s="155">
        <f>IF(Proposta!$Y$28="Sim",'Capacidade_de_Pagamento-Temp'!AE53,'Capacidade_de_Pagamento-Temp-A'!AE53)</f>
        <v>0</v>
      </c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spans="1:41" ht="16.5" hidden="1" x14ac:dyDescent="0.2">
      <c r="A54" s="15"/>
      <c r="B54" s="15"/>
      <c r="C54" s="15"/>
      <c r="D54" s="15"/>
      <c r="E54" s="46">
        <f t="shared" si="5"/>
        <v>0</v>
      </c>
      <c r="F54" s="15"/>
      <c r="G54" s="15"/>
      <c r="H54" s="15"/>
      <c r="I54" s="158" t="str">
        <f>"  Amort.(Principal) Op. "&amp;Proposta!I29&amp;" - "&amp;Proposta!J29</f>
        <v xml:space="preserve">  Amort.(Principal) Op. 15 - </v>
      </c>
      <c r="J54" s="158"/>
      <c r="K54" s="158"/>
      <c r="L54" s="154">
        <f>IF(Proposta!$Y$29="Sim",'Capacidade_de_Pagamento-Temp'!L54,'Capacidade_de_Pagamento-Temp-A'!L54)</f>
        <v>0</v>
      </c>
      <c r="M54" s="154">
        <f>IF(Proposta!$Y$29="Sim",'Capacidade_de_Pagamento-Temp'!M54,'Capacidade_de_Pagamento-Temp-A'!M54)</f>
        <v>0</v>
      </c>
      <c r="N54" s="154">
        <f>IF(Proposta!$Y$29="Sim",'Capacidade_de_Pagamento-Temp'!N54,'Capacidade_de_Pagamento-Temp-A'!N54)</f>
        <v>0</v>
      </c>
      <c r="O54" s="154">
        <f>IF(Proposta!$Y$29="Sim",'Capacidade_de_Pagamento-Temp'!O54,'Capacidade_de_Pagamento-Temp-A'!O54)</f>
        <v>0</v>
      </c>
      <c r="P54" s="154">
        <f>IF(Proposta!$Y$29="Sim",'Capacidade_de_Pagamento-Temp'!P54,'Capacidade_de_Pagamento-Temp-A'!P54)</f>
        <v>0</v>
      </c>
      <c r="Q54" s="154">
        <f>IF(Proposta!$Y$29="Sim",'Capacidade_de_Pagamento-Temp'!Q54,'Capacidade_de_Pagamento-Temp-A'!Q54)</f>
        <v>0</v>
      </c>
      <c r="R54" s="154">
        <f>IF(Proposta!$Y$29="Sim",'Capacidade_de_Pagamento-Temp'!R54,'Capacidade_de_Pagamento-Temp-A'!R54)</f>
        <v>0</v>
      </c>
      <c r="S54" s="154">
        <f>IF(Proposta!$Y$29="Sim",'Capacidade_de_Pagamento-Temp'!S54,'Capacidade_de_Pagamento-Temp-A'!S54)</f>
        <v>0</v>
      </c>
      <c r="T54" s="154">
        <f>IF(Proposta!$Y$29="Sim",'Capacidade_de_Pagamento-Temp'!T54,'Capacidade_de_Pagamento-Temp-A'!T54)</f>
        <v>0</v>
      </c>
      <c r="U54" s="154">
        <f>IF(Proposta!$Y$29="Sim",'Capacidade_de_Pagamento-Temp'!U54,'Capacidade_de_Pagamento-Temp-A'!U54)</f>
        <v>0</v>
      </c>
      <c r="V54" s="155">
        <f>IF(Proposta!$Y$29="Sim",'Capacidade_de_Pagamento-Temp'!V54,'Capacidade_de_Pagamento-Temp-A'!V54)</f>
        <v>0</v>
      </c>
      <c r="W54" s="155">
        <f>IF(Proposta!$Y$29="Sim",'Capacidade_de_Pagamento-Temp'!W54,'Capacidade_de_Pagamento-Temp-A'!W54)</f>
        <v>0</v>
      </c>
      <c r="X54" s="155">
        <f>IF(Proposta!$Y$29="Sim",'Capacidade_de_Pagamento-Temp'!X54,'Capacidade_de_Pagamento-Temp-A'!X54)</f>
        <v>0</v>
      </c>
      <c r="Y54" s="155">
        <f>IF(Proposta!$Y$29="Sim",'Capacidade_de_Pagamento-Temp'!Y54,'Capacidade_de_Pagamento-Temp-A'!Y54)</f>
        <v>0</v>
      </c>
      <c r="Z54" s="155">
        <f>IF(Proposta!$Y$29="Sim",'Capacidade_de_Pagamento-Temp'!Z54,'Capacidade_de_Pagamento-Temp-A'!Z54)</f>
        <v>0</v>
      </c>
      <c r="AA54" s="155">
        <f>IF(Proposta!$Y$29="Sim",'Capacidade_de_Pagamento-Temp'!AA54,'Capacidade_de_Pagamento-Temp-A'!AA54)</f>
        <v>0</v>
      </c>
      <c r="AB54" s="155">
        <f>IF(Proposta!$Y$29="Sim",'Capacidade_de_Pagamento-Temp'!AB54,'Capacidade_de_Pagamento-Temp-A'!AB54)</f>
        <v>0</v>
      </c>
      <c r="AC54" s="155">
        <f>IF(Proposta!$Y$29="Sim",'Capacidade_de_Pagamento-Temp'!AC54,'Capacidade_de_Pagamento-Temp-A'!AC54)</f>
        <v>0</v>
      </c>
      <c r="AD54" s="155">
        <f>IF(Proposta!$Y$29="Sim",'Capacidade_de_Pagamento-Temp'!AD54,'Capacidade_de_Pagamento-Temp-A'!AD54)</f>
        <v>0</v>
      </c>
      <c r="AE54" s="155">
        <f>IF(Proposta!$Y$29="Sim",'Capacidade_de_Pagamento-Temp'!AE54,'Capacidade_de_Pagamento-Temp-A'!AE54)</f>
        <v>0</v>
      </c>
      <c r="AF54" s="15"/>
      <c r="AG54" s="15"/>
      <c r="AH54" s="15"/>
      <c r="AI54" s="15"/>
      <c r="AJ54" s="15"/>
      <c r="AK54" s="15"/>
      <c r="AL54" s="15"/>
      <c r="AM54" s="15"/>
      <c r="AN54" s="15"/>
      <c r="AO54" s="15"/>
    </row>
    <row r="55" spans="1:41" ht="16.5" hidden="1" x14ac:dyDescent="0.2">
      <c r="A55" s="15"/>
      <c r="B55" s="15"/>
      <c r="C55" s="15"/>
      <c r="D55" s="15"/>
      <c r="E55" s="46">
        <f t="shared" si="5"/>
        <v>0</v>
      </c>
      <c r="F55" s="15"/>
      <c r="G55" s="15"/>
      <c r="H55" s="15"/>
      <c r="I55" s="158" t="str">
        <f>"  Amort.(Principal) Op. "&amp;Proposta!I30&amp;" - "&amp;Proposta!J30</f>
        <v xml:space="preserve">  Amort.(Principal) Op. 16 - </v>
      </c>
      <c r="J55" s="158"/>
      <c r="K55" s="158"/>
      <c r="L55" s="154">
        <f>IF(Proposta!$Y$30="Sim",'Capacidade_de_Pagamento-Temp'!L55,'Capacidade_de_Pagamento-Temp-A'!L55)</f>
        <v>0</v>
      </c>
      <c r="M55" s="154">
        <f>IF(Proposta!$Y$30="Sim",'Capacidade_de_Pagamento-Temp'!M55,'Capacidade_de_Pagamento-Temp-A'!M55)</f>
        <v>0</v>
      </c>
      <c r="N55" s="154">
        <f>IF(Proposta!$Y$30="Sim",'Capacidade_de_Pagamento-Temp'!N55,'Capacidade_de_Pagamento-Temp-A'!N55)</f>
        <v>0</v>
      </c>
      <c r="O55" s="154">
        <f>IF(Proposta!$Y$30="Sim",'Capacidade_de_Pagamento-Temp'!O55,'Capacidade_de_Pagamento-Temp-A'!O55)</f>
        <v>0</v>
      </c>
      <c r="P55" s="154">
        <f>IF(Proposta!$Y$30="Sim",'Capacidade_de_Pagamento-Temp'!P55,'Capacidade_de_Pagamento-Temp-A'!P55)</f>
        <v>0</v>
      </c>
      <c r="Q55" s="154">
        <f>IF(Proposta!$Y$30="Sim",'Capacidade_de_Pagamento-Temp'!Q55,'Capacidade_de_Pagamento-Temp-A'!Q55)</f>
        <v>0</v>
      </c>
      <c r="R55" s="154">
        <f>IF(Proposta!$Y$30="Sim",'Capacidade_de_Pagamento-Temp'!R55,'Capacidade_de_Pagamento-Temp-A'!R55)</f>
        <v>0</v>
      </c>
      <c r="S55" s="154">
        <f>IF(Proposta!$Y$30="Sim",'Capacidade_de_Pagamento-Temp'!S55,'Capacidade_de_Pagamento-Temp-A'!S55)</f>
        <v>0</v>
      </c>
      <c r="T55" s="154">
        <f>IF(Proposta!$Y$30="Sim",'Capacidade_de_Pagamento-Temp'!T55,'Capacidade_de_Pagamento-Temp-A'!T55)</f>
        <v>0</v>
      </c>
      <c r="U55" s="154">
        <f>IF(Proposta!$Y$30="Sim",'Capacidade_de_Pagamento-Temp'!U55,'Capacidade_de_Pagamento-Temp-A'!U55)</f>
        <v>0</v>
      </c>
      <c r="V55" s="155">
        <f>IF(Proposta!$Y$30="Sim",'Capacidade_de_Pagamento-Temp'!V55,'Capacidade_de_Pagamento-Temp-A'!V55)</f>
        <v>0</v>
      </c>
      <c r="W55" s="155">
        <f>IF(Proposta!$Y$30="Sim",'Capacidade_de_Pagamento-Temp'!W55,'Capacidade_de_Pagamento-Temp-A'!W55)</f>
        <v>0</v>
      </c>
      <c r="X55" s="155">
        <f>IF(Proposta!$Y$30="Sim",'Capacidade_de_Pagamento-Temp'!X55,'Capacidade_de_Pagamento-Temp-A'!X55)</f>
        <v>0</v>
      </c>
      <c r="Y55" s="155">
        <f>IF(Proposta!$Y$30="Sim",'Capacidade_de_Pagamento-Temp'!Y55,'Capacidade_de_Pagamento-Temp-A'!Y55)</f>
        <v>0</v>
      </c>
      <c r="Z55" s="155">
        <f>IF(Proposta!$Y$30="Sim",'Capacidade_de_Pagamento-Temp'!Z55,'Capacidade_de_Pagamento-Temp-A'!Z55)</f>
        <v>0</v>
      </c>
      <c r="AA55" s="155">
        <f>IF(Proposta!$Y$30="Sim",'Capacidade_de_Pagamento-Temp'!AA55,'Capacidade_de_Pagamento-Temp-A'!AA55)</f>
        <v>0</v>
      </c>
      <c r="AB55" s="155">
        <f>IF(Proposta!$Y$30="Sim",'Capacidade_de_Pagamento-Temp'!AB55,'Capacidade_de_Pagamento-Temp-A'!AB55)</f>
        <v>0</v>
      </c>
      <c r="AC55" s="155">
        <f>IF(Proposta!$Y$30="Sim",'Capacidade_de_Pagamento-Temp'!AC55,'Capacidade_de_Pagamento-Temp-A'!AC55)</f>
        <v>0</v>
      </c>
      <c r="AD55" s="155">
        <f>IF(Proposta!$Y$30="Sim",'Capacidade_de_Pagamento-Temp'!AD55,'Capacidade_de_Pagamento-Temp-A'!AD55)</f>
        <v>0</v>
      </c>
      <c r="AE55" s="155">
        <f>IF(Proposta!$Y$30="Sim",'Capacidade_de_Pagamento-Temp'!AE55,'Capacidade_de_Pagamento-Temp-A'!AE55)</f>
        <v>0</v>
      </c>
      <c r="AF55" s="15"/>
      <c r="AG55" s="15"/>
      <c r="AH55" s="15"/>
      <c r="AI55" s="15"/>
      <c r="AJ55" s="15"/>
      <c r="AK55" s="15"/>
      <c r="AL55" s="15"/>
      <c r="AM55" s="15"/>
      <c r="AN55" s="15"/>
      <c r="AO55" s="15"/>
    </row>
    <row r="56" spans="1:41" ht="16.5" hidden="1" x14ac:dyDescent="0.2">
      <c r="A56" s="15"/>
      <c r="B56" s="15"/>
      <c r="C56" s="15"/>
      <c r="D56" s="15"/>
      <c r="E56" s="46">
        <f t="shared" si="5"/>
        <v>0</v>
      </c>
      <c r="F56" s="15"/>
      <c r="G56" s="15"/>
      <c r="H56" s="15"/>
      <c r="I56" s="158" t="str">
        <f>"  Amort.(Principal) Op. "&amp;Proposta!I31&amp;" - "&amp;Proposta!J31</f>
        <v xml:space="preserve">  Amort.(Principal) Op. 17 - </v>
      </c>
      <c r="J56" s="158"/>
      <c r="K56" s="158"/>
      <c r="L56" s="154">
        <f>IF(Proposta!$Y$31="Sim",'Capacidade_de_Pagamento-Temp'!L56,'Capacidade_de_Pagamento-Temp-A'!L56)</f>
        <v>0</v>
      </c>
      <c r="M56" s="154">
        <f>IF(Proposta!$Y$31="Sim",'Capacidade_de_Pagamento-Temp'!M56,'Capacidade_de_Pagamento-Temp-A'!M56)</f>
        <v>0</v>
      </c>
      <c r="N56" s="154">
        <f>IF(Proposta!$Y$31="Sim",'Capacidade_de_Pagamento-Temp'!N56,'Capacidade_de_Pagamento-Temp-A'!N56)</f>
        <v>0</v>
      </c>
      <c r="O56" s="154">
        <f>IF(Proposta!$Y$31="Sim",'Capacidade_de_Pagamento-Temp'!O56,'Capacidade_de_Pagamento-Temp-A'!O56)</f>
        <v>0</v>
      </c>
      <c r="P56" s="154">
        <f>IF(Proposta!$Y$31="Sim",'Capacidade_de_Pagamento-Temp'!P56,'Capacidade_de_Pagamento-Temp-A'!P56)</f>
        <v>0</v>
      </c>
      <c r="Q56" s="154">
        <f>IF(Proposta!$Y$31="Sim",'Capacidade_de_Pagamento-Temp'!Q56,'Capacidade_de_Pagamento-Temp-A'!Q56)</f>
        <v>0</v>
      </c>
      <c r="R56" s="154">
        <f>IF(Proposta!$Y$31="Sim",'Capacidade_de_Pagamento-Temp'!R56,'Capacidade_de_Pagamento-Temp-A'!R56)</f>
        <v>0</v>
      </c>
      <c r="S56" s="154">
        <f>IF(Proposta!$Y$31="Sim",'Capacidade_de_Pagamento-Temp'!S56,'Capacidade_de_Pagamento-Temp-A'!S56)</f>
        <v>0</v>
      </c>
      <c r="T56" s="154">
        <f>IF(Proposta!$Y$31="Sim",'Capacidade_de_Pagamento-Temp'!T56,'Capacidade_de_Pagamento-Temp-A'!T56)</f>
        <v>0</v>
      </c>
      <c r="U56" s="154">
        <f>IF(Proposta!$Y$31="Sim",'Capacidade_de_Pagamento-Temp'!U56,'Capacidade_de_Pagamento-Temp-A'!U56)</f>
        <v>0</v>
      </c>
      <c r="V56" s="155">
        <f>IF(Proposta!$Y$31="Sim",'Capacidade_de_Pagamento-Temp'!V56,'Capacidade_de_Pagamento-Temp-A'!V56)</f>
        <v>0</v>
      </c>
      <c r="W56" s="155">
        <f>IF(Proposta!$Y$31="Sim",'Capacidade_de_Pagamento-Temp'!W56,'Capacidade_de_Pagamento-Temp-A'!W56)</f>
        <v>0</v>
      </c>
      <c r="X56" s="155">
        <f>IF(Proposta!$Y$31="Sim",'Capacidade_de_Pagamento-Temp'!X56,'Capacidade_de_Pagamento-Temp-A'!X56)</f>
        <v>0</v>
      </c>
      <c r="Y56" s="155">
        <f>IF(Proposta!$Y$31="Sim",'Capacidade_de_Pagamento-Temp'!Y56,'Capacidade_de_Pagamento-Temp-A'!Y56)</f>
        <v>0</v>
      </c>
      <c r="Z56" s="155">
        <f>IF(Proposta!$Y$31="Sim",'Capacidade_de_Pagamento-Temp'!Z56,'Capacidade_de_Pagamento-Temp-A'!Z56)</f>
        <v>0</v>
      </c>
      <c r="AA56" s="155">
        <f>IF(Proposta!$Y$31="Sim",'Capacidade_de_Pagamento-Temp'!AA56,'Capacidade_de_Pagamento-Temp-A'!AA56)</f>
        <v>0</v>
      </c>
      <c r="AB56" s="155">
        <f>IF(Proposta!$Y$31="Sim",'Capacidade_de_Pagamento-Temp'!AB56,'Capacidade_de_Pagamento-Temp-A'!AB56)</f>
        <v>0</v>
      </c>
      <c r="AC56" s="155">
        <f>IF(Proposta!$Y$31="Sim",'Capacidade_de_Pagamento-Temp'!AC56,'Capacidade_de_Pagamento-Temp-A'!AC56)</f>
        <v>0</v>
      </c>
      <c r="AD56" s="155">
        <f>IF(Proposta!$Y$31="Sim",'Capacidade_de_Pagamento-Temp'!AD56,'Capacidade_de_Pagamento-Temp-A'!AD56)</f>
        <v>0</v>
      </c>
      <c r="AE56" s="155">
        <f>IF(Proposta!$Y$31="Sim",'Capacidade_de_Pagamento-Temp'!AE56,'Capacidade_de_Pagamento-Temp-A'!AE56)</f>
        <v>0</v>
      </c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spans="1:41" ht="16.5" hidden="1" x14ac:dyDescent="0.2">
      <c r="A57" s="15"/>
      <c r="B57" s="15"/>
      <c r="C57" s="15"/>
      <c r="D57" s="15"/>
      <c r="E57" s="46">
        <f t="shared" si="5"/>
        <v>0</v>
      </c>
      <c r="F57" s="15"/>
      <c r="G57" s="15"/>
      <c r="H57" s="15"/>
      <c r="I57" s="158" t="str">
        <f>"  Amort.(Principal) Op. "&amp;Proposta!I32&amp;" - "&amp;Proposta!J32</f>
        <v xml:space="preserve">  Amort.(Principal) Op. 18 - </v>
      </c>
      <c r="J57" s="158"/>
      <c r="K57" s="158"/>
      <c r="L57" s="154">
        <f>IF(Proposta!$Y$32="Sim",'Capacidade_de_Pagamento-Temp'!L57,'Capacidade_de_Pagamento-Temp-A'!L57)</f>
        <v>0</v>
      </c>
      <c r="M57" s="154">
        <f>IF(Proposta!$Y$32="Sim",'Capacidade_de_Pagamento-Temp'!M57,'Capacidade_de_Pagamento-Temp-A'!M57)</f>
        <v>0</v>
      </c>
      <c r="N57" s="154">
        <f>IF(Proposta!$Y$32="Sim",'Capacidade_de_Pagamento-Temp'!N57,'Capacidade_de_Pagamento-Temp-A'!N57)</f>
        <v>0</v>
      </c>
      <c r="O57" s="154">
        <f>IF(Proposta!$Y$32="Sim",'Capacidade_de_Pagamento-Temp'!O57,'Capacidade_de_Pagamento-Temp-A'!O57)</f>
        <v>0</v>
      </c>
      <c r="P57" s="154">
        <f>IF(Proposta!$Y$32="Sim",'Capacidade_de_Pagamento-Temp'!P57,'Capacidade_de_Pagamento-Temp-A'!P57)</f>
        <v>0</v>
      </c>
      <c r="Q57" s="154">
        <f>IF(Proposta!$Y$32="Sim",'Capacidade_de_Pagamento-Temp'!Q57,'Capacidade_de_Pagamento-Temp-A'!Q57)</f>
        <v>0</v>
      </c>
      <c r="R57" s="154">
        <f>IF(Proposta!$Y$32="Sim",'Capacidade_de_Pagamento-Temp'!R57,'Capacidade_de_Pagamento-Temp-A'!R57)</f>
        <v>0</v>
      </c>
      <c r="S57" s="154">
        <f>IF(Proposta!$Y$32="Sim",'Capacidade_de_Pagamento-Temp'!S57,'Capacidade_de_Pagamento-Temp-A'!S57)</f>
        <v>0</v>
      </c>
      <c r="T57" s="154">
        <f>IF(Proposta!$Y$32="Sim",'Capacidade_de_Pagamento-Temp'!T57,'Capacidade_de_Pagamento-Temp-A'!T57)</f>
        <v>0</v>
      </c>
      <c r="U57" s="154">
        <f>IF(Proposta!$Y$32="Sim",'Capacidade_de_Pagamento-Temp'!U57,'Capacidade_de_Pagamento-Temp-A'!U57)</f>
        <v>0</v>
      </c>
      <c r="V57" s="155">
        <f>IF(Proposta!$Y$32="Sim",'Capacidade_de_Pagamento-Temp'!V57,'Capacidade_de_Pagamento-Temp-A'!V57)</f>
        <v>0</v>
      </c>
      <c r="W57" s="155">
        <f>IF(Proposta!$Y$32="Sim",'Capacidade_de_Pagamento-Temp'!W57,'Capacidade_de_Pagamento-Temp-A'!W57)</f>
        <v>0</v>
      </c>
      <c r="X57" s="155">
        <f>IF(Proposta!$Y$32="Sim",'Capacidade_de_Pagamento-Temp'!X57,'Capacidade_de_Pagamento-Temp-A'!X57)</f>
        <v>0</v>
      </c>
      <c r="Y57" s="155">
        <f>IF(Proposta!$Y$32="Sim",'Capacidade_de_Pagamento-Temp'!Y57,'Capacidade_de_Pagamento-Temp-A'!Y57)</f>
        <v>0</v>
      </c>
      <c r="Z57" s="155">
        <f>IF(Proposta!$Y$32="Sim",'Capacidade_de_Pagamento-Temp'!Z57,'Capacidade_de_Pagamento-Temp-A'!Z57)</f>
        <v>0</v>
      </c>
      <c r="AA57" s="155">
        <f>IF(Proposta!$Y$32="Sim",'Capacidade_de_Pagamento-Temp'!AA57,'Capacidade_de_Pagamento-Temp-A'!AA57)</f>
        <v>0</v>
      </c>
      <c r="AB57" s="155">
        <f>IF(Proposta!$Y$32="Sim",'Capacidade_de_Pagamento-Temp'!AB57,'Capacidade_de_Pagamento-Temp-A'!AB57)</f>
        <v>0</v>
      </c>
      <c r="AC57" s="155">
        <f>IF(Proposta!$Y$32="Sim",'Capacidade_de_Pagamento-Temp'!AC57,'Capacidade_de_Pagamento-Temp-A'!AC57)</f>
        <v>0</v>
      </c>
      <c r="AD57" s="155">
        <f>IF(Proposta!$Y$32="Sim",'Capacidade_de_Pagamento-Temp'!AD57,'Capacidade_de_Pagamento-Temp-A'!AD57)</f>
        <v>0</v>
      </c>
      <c r="AE57" s="155">
        <f>IF(Proposta!$Y$32="Sim",'Capacidade_de_Pagamento-Temp'!AE57,'Capacidade_de_Pagamento-Temp-A'!AE57)</f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spans="1:41" ht="16.5" hidden="1" x14ac:dyDescent="0.2">
      <c r="A58" s="15"/>
      <c r="B58" s="15"/>
      <c r="C58" s="15"/>
      <c r="D58" s="15"/>
      <c r="E58" s="46">
        <f t="shared" si="5"/>
        <v>0</v>
      </c>
      <c r="F58" s="15"/>
      <c r="G58" s="15"/>
      <c r="H58" s="15"/>
      <c r="I58" s="158" t="str">
        <f>"  Amort.(Principal) Op. "&amp;Proposta!I33&amp;" - "&amp;Proposta!J33</f>
        <v xml:space="preserve">  Amort.(Principal) Op. 19 - </v>
      </c>
      <c r="J58" s="158"/>
      <c r="K58" s="158"/>
      <c r="L58" s="154">
        <f>IF(Proposta!$Y$33="Sim",'Capacidade_de_Pagamento-Temp'!L58,'Capacidade_de_Pagamento-Temp-A'!L58)</f>
        <v>0</v>
      </c>
      <c r="M58" s="154">
        <f>IF(Proposta!$Y$33="Sim",'Capacidade_de_Pagamento-Temp'!M58,'Capacidade_de_Pagamento-Temp-A'!M58)</f>
        <v>0</v>
      </c>
      <c r="N58" s="154">
        <f>IF(Proposta!$Y$33="Sim",'Capacidade_de_Pagamento-Temp'!N58,'Capacidade_de_Pagamento-Temp-A'!N58)</f>
        <v>0</v>
      </c>
      <c r="O58" s="154">
        <f>IF(Proposta!$Y$33="Sim",'Capacidade_de_Pagamento-Temp'!O58,'Capacidade_de_Pagamento-Temp-A'!O58)</f>
        <v>0</v>
      </c>
      <c r="P58" s="154">
        <f>IF(Proposta!$Y$33="Sim",'Capacidade_de_Pagamento-Temp'!P58,'Capacidade_de_Pagamento-Temp-A'!P58)</f>
        <v>0</v>
      </c>
      <c r="Q58" s="154">
        <f>IF(Proposta!$Y$33="Sim",'Capacidade_de_Pagamento-Temp'!Q58,'Capacidade_de_Pagamento-Temp-A'!Q58)</f>
        <v>0</v>
      </c>
      <c r="R58" s="154">
        <f>IF(Proposta!$Y$33="Sim",'Capacidade_de_Pagamento-Temp'!R58,'Capacidade_de_Pagamento-Temp-A'!R58)</f>
        <v>0</v>
      </c>
      <c r="S58" s="154">
        <f>IF(Proposta!$Y$33="Sim",'Capacidade_de_Pagamento-Temp'!S58,'Capacidade_de_Pagamento-Temp-A'!S58)</f>
        <v>0</v>
      </c>
      <c r="T58" s="154">
        <f>IF(Proposta!$Y$33="Sim",'Capacidade_de_Pagamento-Temp'!T58,'Capacidade_de_Pagamento-Temp-A'!T58)</f>
        <v>0</v>
      </c>
      <c r="U58" s="154">
        <f>IF(Proposta!$Y$33="Sim",'Capacidade_de_Pagamento-Temp'!U58,'Capacidade_de_Pagamento-Temp-A'!U58)</f>
        <v>0</v>
      </c>
      <c r="V58" s="155">
        <f>IF(Proposta!$Y$33="Sim",'Capacidade_de_Pagamento-Temp'!V58,'Capacidade_de_Pagamento-Temp-A'!V58)</f>
        <v>0</v>
      </c>
      <c r="W58" s="155">
        <f>IF(Proposta!$Y$33="Sim",'Capacidade_de_Pagamento-Temp'!W58,'Capacidade_de_Pagamento-Temp-A'!W58)</f>
        <v>0</v>
      </c>
      <c r="X58" s="155">
        <f>IF(Proposta!$Y$33="Sim",'Capacidade_de_Pagamento-Temp'!X58,'Capacidade_de_Pagamento-Temp-A'!X58)</f>
        <v>0</v>
      </c>
      <c r="Y58" s="155">
        <f>IF(Proposta!$Y$33="Sim",'Capacidade_de_Pagamento-Temp'!Y58,'Capacidade_de_Pagamento-Temp-A'!Y58)</f>
        <v>0</v>
      </c>
      <c r="Z58" s="155">
        <f>IF(Proposta!$Y$33="Sim",'Capacidade_de_Pagamento-Temp'!Z58,'Capacidade_de_Pagamento-Temp-A'!Z58)</f>
        <v>0</v>
      </c>
      <c r="AA58" s="155">
        <f>IF(Proposta!$Y$33="Sim",'Capacidade_de_Pagamento-Temp'!AA58,'Capacidade_de_Pagamento-Temp-A'!AA58)</f>
        <v>0</v>
      </c>
      <c r="AB58" s="155">
        <f>IF(Proposta!$Y$33="Sim",'Capacidade_de_Pagamento-Temp'!AB58,'Capacidade_de_Pagamento-Temp-A'!AB58)</f>
        <v>0</v>
      </c>
      <c r="AC58" s="155">
        <f>IF(Proposta!$Y$33="Sim",'Capacidade_de_Pagamento-Temp'!AC58,'Capacidade_de_Pagamento-Temp-A'!AC58)</f>
        <v>0</v>
      </c>
      <c r="AD58" s="155">
        <f>IF(Proposta!$Y$33="Sim",'Capacidade_de_Pagamento-Temp'!AD58,'Capacidade_de_Pagamento-Temp-A'!AD58)</f>
        <v>0</v>
      </c>
      <c r="AE58" s="155">
        <f>IF(Proposta!$Y$33="Sim",'Capacidade_de_Pagamento-Temp'!AE58,'Capacidade_de_Pagamento-Temp-A'!AE58)</f>
        <v>0</v>
      </c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spans="1:41" ht="16.5" x14ac:dyDescent="0.25">
      <c r="A59" s="15"/>
      <c r="B59" s="15"/>
      <c r="C59" s="15"/>
      <c r="D59" s="15"/>
      <c r="E59" s="18">
        <v>1</v>
      </c>
      <c r="F59" s="230">
        <f>MAX(L59:AE59)</f>
        <v>10.020313518071365</v>
      </c>
      <c r="G59" s="231" t="s">
        <v>188</v>
      </c>
      <c r="H59" s="15"/>
      <c r="I59" s="354" t="s">
        <v>189</v>
      </c>
      <c r="J59" s="298"/>
      <c r="K59" s="274"/>
      <c r="L59" s="156">
        <f t="shared" ref="L59:AE59" si="6">IF(L37&lt;=0,0,(L38/L37)*100)</f>
        <v>0</v>
      </c>
      <c r="M59" s="156">
        <f t="shared" si="6"/>
        <v>0</v>
      </c>
      <c r="N59" s="156">
        <f t="shared" si="6"/>
        <v>0</v>
      </c>
      <c r="O59" s="156">
        <f t="shared" si="6"/>
        <v>9.8431004088776746</v>
      </c>
      <c r="P59" s="156">
        <f t="shared" si="6"/>
        <v>9.8531908318181181</v>
      </c>
      <c r="Q59" s="156">
        <f t="shared" si="6"/>
        <v>9.8634094647549126</v>
      </c>
      <c r="R59" s="156">
        <f t="shared" si="6"/>
        <v>9.8737404680096095</v>
      </c>
      <c r="S59" s="156">
        <f t="shared" si="6"/>
        <v>9.8842093943131371</v>
      </c>
      <c r="T59" s="156">
        <f t="shared" si="6"/>
        <v>9.8948004084179857</v>
      </c>
      <c r="U59" s="156">
        <f t="shared" si="6"/>
        <v>9.9055142242264829</v>
      </c>
      <c r="V59" s="157">
        <f t="shared" si="6"/>
        <v>9.9163682829958404</v>
      </c>
      <c r="W59" s="157">
        <f t="shared" si="6"/>
        <v>9.9273550539668651</v>
      </c>
      <c r="X59" s="157">
        <f t="shared" si="6"/>
        <v>9.9384669449902603</v>
      </c>
      <c r="Y59" s="157">
        <f t="shared" si="6"/>
        <v>9.9497215444661986</v>
      </c>
      <c r="Z59" s="157">
        <f t="shared" si="6"/>
        <v>9.9611197379985121</v>
      </c>
      <c r="AA59" s="157">
        <f t="shared" si="6"/>
        <v>9.9726455182983447</v>
      </c>
      <c r="AB59" s="157">
        <f t="shared" si="6"/>
        <v>9.9843251009702829</v>
      </c>
      <c r="AC59" s="157">
        <f t="shared" si="6"/>
        <v>9.9961424866856312</v>
      </c>
      <c r="AD59" s="157">
        <f t="shared" si="6"/>
        <v>10.008107071186551</v>
      </c>
      <c r="AE59" s="157">
        <f t="shared" si="6"/>
        <v>10.020313518071365</v>
      </c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spans="1:41" ht="15.75" x14ac:dyDescent="0.25">
      <c r="A60" s="15"/>
      <c r="B60" s="15"/>
      <c r="C60" s="15"/>
      <c r="D60" s="15"/>
      <c r="E60" s="18">
        <v>1</v>
      </c>
      <c r="F60" s="104">
        <f>MIN(L59:AE59)</f>
        <v>0</v>
      </c>
      <c r="G60" s="15" t="str">
        <f>IF(F60=0,"OK",IF(F60&lt;0,"ERRO",IF(F60&lt;20,"ERRO","OK")))</f>
        <v>OK</v>
      </c>
      <c r="H60" s="15"/>
      <c r="I60" s="168"/>
      <c r="J60" s="168"/>
      <c r="K60" s="168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spans="1:41" ht="16.5" x14ac:dyDescent="0.25">
      <c r="A61" s="15"/>
      <c r="B61" s="15"/>
      <c r="C61" s="15"/>
      <c r="D61" s="15"/>
      <c r="E61" s="18">
        <f t="shared" ref="E61:E64" si="7">IF($F$61&gt;10,1,0)</f>
        <v>1</v>
      </c>
      <c r="F61" s="29">
        <f>MAX(Proposta!N14:N33)</f>
        <v>20</v>
      </c>
      <c r="G61" s="15"/>
      <c r="H61" s="15"/>
      <c r="I61" s="355" t="s">
        <v>141</v>
      </c>
      <c r="J61" s="286"/>
      <c r="K61" s="287"/>
      <c r="L61" s="152" t="str">
        <f>IF(MAX(Proposta!$N$14:$N$33)&lt;L113,"",V11)</f>
        <v>Ano 11</v>
      </c>
      <c r="M61" s="152" t="str">
        <f>IF(MAX(Proposta!$N$14:$N$33)&lt;M113,"",W11)</f>
        <v>Ano 12</v>
      </c>
      <c r="N61" s="152" t="str">
        <f>IF(MAX(Proposta!$N$14:$N$33)&lt;N113,"",X11)</f>
        <v>Ano 13</v>
      </c>
      <c r="O61" s="152" t="str">
        <f>IF(MAX(Proposta!$N$14:$N$33)&lt;O113,"",Y11)</f>
        <v>Ano 14</v>
      </c>
      <c r="P61" s="152" t="str">
        <f>IF(MAX(Proposta!$N$14:$N$33)&lt;P113,"",Z11)</f>
        <v>Ano 15</v>
      </c>
      <c r="Q61" s="152" t="str">
        <f>IF(MAX(Proposta!$N$14:$N$33)&lt;Q113,"",AA11)</f>
        <v>Ano 16</v>
      </c>
      <c r="R61" s="152" t="str">
        <f>IF(MAX(Proposta!$N$14:$N$33)&lt;R113,"",AB11)</f>
        <v>Ano 17</v>
      </c>
      <c r="S61" s="152" t="str">
        <f>IF(MAX(Proposta!$N$14:$N$33)&lt;S113,"",AC11)</f>
        <v>Ano 18</v>
      </c>
      <c r="T61" s="152" t="str">
        <f>IF(MAX(Proposta!$N$14:$N$33)&lt;T113,"",AD11)</f>
        <v>Ano 19</v>
      </c>
      <c r="U61" s="152" t="str">
        <f>IF(MAX(Proposta!$N$14:$N$33)&lt;U113,"",AE11)</f>
        <v>Ano 20</v>
      </c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spans="1:41" ht="16.5" x14ac:dyDescent="0.25">
      <c r="A62" s="15"/>
      <c r="B62" s="15"/>
      <c r="C62" s="15"/>
      <c r="D62" s="15"/>
      <c r="E62" s="18">
        <f t="shared" si="7"/>
        <v>1</v>
      </c>
      <c r="F62" s="232" t="str">
        <f>IF(ISERROR(VLOOKUP(IF(F61&gt;10,11,""),Tabela!E2:F11,2,0)),"",VLOOKUP(IF(F61&gt;10,11,""),Tabela!E2:F11,2,0))</f>
        <v>V</v>
      </c>
      <c r="G62" s="15"/>
      <c r="H62" s="15"/>
      <c r="I62" s="158" t="str">
        <f t="shared" ref="I62:I109" si="8">I12</f>
        <v>Receitas Totais</v>
      </c>
      <c r="J62" s="158"/>
      <c r="K62" s="158"/>
      <c r="L62" s="154">
        <f>IF(MAX(Proposta!$N$14:$N$33)&lt;$L$113,"",V12)</f>
        <v>30000</v>
      </c>
      <c r="M62" s="154">
        <f>IF(MAX(Proposta!$N$14:$N$33)&lt;$M$113,"",W12)</f>
        <v>30000</v>
      </c>
      <c r="N62" s="154">
        <f>IF(MAX(Proposta!$N$14:$N$33)&lt;$N$113,"",X12)</f>
        <v>30000</v>
      </c>
      <c r="O62" s="154">
        <f>IF(MAX(Proposta!$N$14:$N$33)&lt;$O$113,"",Y12)</f>
        <v>30000</v>
      </c>
      <c r="P62" s="154">
        <f>IF(MAX(Proposta!$N$14:$N$33)&lt;$P$113,"",Z12)</f>
        <v>30000</v>
      </c>
      <c r="Q62" s="154">
        <f>IF(MAX(Proposta!$N$14:$N$33)&lt;$Q$113,"",AA12)</f>
        <v>30000</v>
      </c>
      <c r="R62" s="154">
        <f>IF(MAX(Proposta!$N$14:$N$33)&lt;$R$113,"",AB12)</f>
        <v>30000</v>
      </c>
      <c r="S62" s="154">
        <f>IF(MAX(Proposta!$N$14:$N$33)&lt;$S$113,"",AC12)</f>
        <v>30000</v>
      </c>
      <c r="T62" s="154">
        <f>IF(MAX(Proposta!$N$14:$N$33)&lt;$T$113,"",AD12)</f>
        <v>30000</v>
      </c>
      <c r="U62" s="154">
        <f>IF(MAX(Proposta!$N$14:$N$33)&lt;$U$113,"",AE12)</f>
        <v>30000</v>
      </c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"/>
      <c r="AG62" s="15"/>
      <c r="AH62" s="15"/>
      <c r="AI62" s="15"/>
      <c r="AJ62" s="15"/>
      <c r="AK62" s="15"/>
      <c r="AL62" s="15"/>
      <c r="AM62" s="15"/>
      <c r="AN62" s="15"/>
      <c r="AO62" s="15"/>
    </row>
    <row r="63" spans="1:41" ht="16.5" x14ac:dyDescent="0.25">
      <c r="A63" s="15"/>
      <c r="B63" s="15"/>
      <c r="C63" s="15"/>
      <c r="D63" s="15"/>
      <c r="E63" s="18">
        <f t="shared" si="7"/>
        <v>1</v>
      </c>
      <c r="F63" s="232" t="str">
        <f>IF(ISERROR(VLOOKUP(IF(F61&gt;10,F61,""),Tabela!E2:F11,2,0)),"",VLOOKUP(IF(F61&gt;10,F61,""),Tabela!E2:F11,2,0))</f>
        <v>AE</v>
      </c>
      <c r="G63" s="15"/>
      <c r="H63" s="15"/>
      <c r="I63" s="158" t="str">
        <f t="shared" si="8"/>
        <v>Custos Totais</v>
      </c>
      <c r="J63" s="158"/>
      <c r="K63" s="158"/>
      <c r="L63" s="154">
        <f>IF(MAX(Proposta!$N$14:$N$33)&lt;$L$113,"",V13)</f>
        <v>18000</v>
      </c>
      <c r="M63" s="154">
        <f>IF(MAX(Proposta!$N$14:$N$33)&lt;$M$113,"",W13)</f>
        <v>18000</v>
      </c>
      <c r="N63" s="154">
        <f>IF(MAX(Proposta!$N$14:$N$33)&lt;$N$113,"",X13)</f>
        <v>18000</v>
      </c>
      <c r="O63" s="154">
        <f>IF(MAX(Proposta!$N$14:$N$33)&lt;$O$113,"",Y13)</f>
        <v>18000</v>
      </c>
      <c r="P63" s="154">
        <f>IF(MAX(Proposta!$N$14:$N$33)&lt;$P$113,"",Z13)</f>
        <v>18000</v>
      </c>
      <c r="Q63" s="154">
        <f>IF(MAX(Proposta!$N$14:$N$33)&lt;$Q$113,"",AA13)</f>
        <v>18000</v>
      </c>
      <c r="R63" s="154">
        <f>IF(MAX(Proposta!$N$14:$N$33)&lt;$R$113,"",AB13)</f>
        <v>18000</v>
      </c>
      <c r="S63" s="154">
        <f>IF(MAX(Proposta!$N$14:$N$33)&lt;$S$113,"",AC13)</f>
        <v>18000</v>
      </c>
      <c r="T63" s="154">
        <f>IF(MAX(Proposta!$N$14:$N$33)&lt;$T$113,"",AD13)</f>
        <v>18000</v>
      </c>
      <c r="U63" s="154">
        <f>IF(MAX(Proposta!$N$14:$N$33)&lt;$U$113,"",AE13)</f>
        <v>18000</v>
      </c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spans="1:41" ht="16.5" x14ac:dyDescent="0.25">
      <c r="A64" s="15"/>
      <c r="B64" s="15"/>
      <c r="C64" s="15"/>
      <c r="D64" s="15"/>
      <c r="E64" s="18">
        <f t="shared" si="7"/>
        <v>1</v>
      </c>
      <c r="F64" s="15"/>
      <c r="G64" s="15"/>
      <c r="H64" s="15"/>
      <c r="I64" s="158" t="str">
        <f t="shared" si="8"/>
        <v>Rédito Operacional</v>
      </c>
      <c r="J64" s="158"/>
      <c r="K64" s="158"/>
      <c r="L64" s="156">
        <f>IF(MAX(Proposta!$N$14:$N$33)&lt;$L$113,"",V14)</f>
        <v>12000</v>
      </c>
      <c r="M64" s="156">
        <f>IF(MAX(Proposta!$N$14:$N$33)&lt;$M$113,"",W14)</f>
        <v>12000</v>
      </c>
      <c r="N64" s="156">
        <f>IF(MAX(Proposta!$N$14:$N$33)&lt;$N$113,"",X14)</f>
        <v>12000</v>
      </c>
      <c r="O64" s="156">
        <f>IF(MAX(Proposta!$N$14:$N$33)&lt;$O$113,"",Y14)</f>
        <v>12000</v>
      </c>
      <c r="P64" s="156">
        <f>IF(MAX(Proposta!$N$14:$N$33)&lt;$P$113,"",Z14)</f>
        <v>12000</v>
      </c>
      <c r="Q64" s="156">
        <f>IF(MAX(Proposta!$N$14:$N$33)&lt;$Q$113,"",AA14)</f>
        <v>12000</v>
      </c>
      <c r="R64" s="156">
        <f>IF(MAX(Proposta!$N$14:$N$33)&lt;$R$113,"",AB14)</f>
        <v>12000</v>
      </c>
      <c r="S64" s="156">
        <f>IF(MAX(Proposta!$N$14:$N$33)&lt;$S$113,"",AC14)</f>
        <v>12000</v>
      </c>
      <c r="T64" s="156">
        <f>IF(MAX(Proposta!$N$14:$N$33)&lt;$T$113,"",AD14)</f>
        <v>12000</v>
      </c>
      <c r="U64" s="156">
        <f>IF(MAX(Proposta!$N$14:$N$33)&lt;$U$113,"",AE14)</f>
        <v>12000</v>
      </c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spans="1:41" ht="16.5" hidden="1" x14ac:dyDescent="0.2">
      <c r="A65" s="15"/>
      <c r="B65" s="15"/>
      <c r="C65" s="15"/>
      <c r="D65" s="15"/>
      <c r="E65" s="46">
        <f>IF(OR($F$61&lt;11,SUM(L65:U65)=0),0,1)</f>
        <v>0</v>
      </c>
      <c r="F65" s="15"/>
      <c r="G65" s="15"/>
      <c r="H65" s="15"/>
      <c r="I65" s="158" t="str">
        <f t="shared" si="8"/>
        <v>Aporte Adicional</v>
      </c>
      <c r="J65" s="158"/>
      <c r="K65" s="158"/>
      <c r="L65" s="154">
        <f>IF(MAX(Proposta!$N$14:$N$33)&lt;$L$113,"",V15)</f>
        <v>0</v>
      </c>
      <c r="M65" s="154">
        <f>IF(MAX(Proposta!$N$14:$N$33)&lt;$M$113,"",W15)</f>
        <v>0</v>
      </c>
      <c r="N65" s="154">
        <f>IF(MAX(Proposta!$N$14:$N$33)&lt;$N$113,"",X15)</f>
        <v>0</v>
      </c>
      <c r="O65" s="154">
        <f>IF(MAX(Proposta!$N$14:$N$33)&lt;$O$113,"",Y15)</f>
        <v>0</v>
      </c>
      <c r="P65" s="154">
        <f>IF(MAX(Proposta!$N$14:$N$33)&lt;$P$113,"",Z15)</f>
        <v>0</v>
      </c>
      <c r="Q65" s="154">
        <f>IF(MAX(Proposta!$N$14:$N$33)&lt;$Q$113,"",AA15)</f>
        <v>0</v>
      </c>
      <c r="R65" s="154">
        <f>IF(MAX(Proposta!$N$14:$N$33)&lt;$R$113,"",AB15)</f>
        <v>0</v>
      </c>
      <c r="S65" s="154">
        <f>IF(MAX(Proposta!$N$14:$N$33)&lt;$S$113,"",AC15)</f>
        <v>0</v>
      </c>
      <c r="T65" s="154">
        <f>IF(MAX(Proposta!$N$14:$N$33)&lt;$T$113,"",AD15)</f>
        <v>0</v>
      </c>
      <c r="U65" s="154">
        <f>IF(MAX(Proposta!$N$14:$N$33)&lt;$U$113,"",AE15)</f>
        <v>0</v>
      </c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spans="1:41" ht="16.5" x14ac:dyDescent="0.25">
      <c r="A66" s="15"/>
      <c r="B66" s="15"/>
      <c r="C66" s="15"/>
      <c r="D66" s="15"/>
      <c r="E66" s="18">
        <f>IF($F$61&gt;10,1,0)</f>
        <v>1</v>
      </c>
      <c r="F66" s="15"/>
      <c r="G66" s="15"/>
      <c r="H66" s="15"/>
      <c r="I66" s="158" t="str">
        <f t="shared" si="8"/>
        <v>Encargos da Proposta</v>
      </c>
      <c r="J66" s="158"/>
      <c r="K66" s="158"/>
      <c r="L66" s="154">
        <f>IF(MAX(Proposta!$N$14:$N$33)&lt;$L$113,"",V16)</f>
        <v>136.08000000000001</v>
      </c>
      <c r="M66" s="154">
        <f>IF(MAX(Proposta!$N$14:$N$33)&lt;$M$113,"",W16)</f>
        <v>149.21</v>
      </c>
      <c r="N66" s="154">
        <f>IF(MAX(Proposta!$N$14:$N$33)&lt;$N$113,"",X16)</f>
        <v>162.46</v>
      </c>
      <c r="O66" s="154">
        <f>IF(MAX(Proposta!$N$14:$N$33)&lt;$O$113,"",Y16)</f>
        <v>175.85</v>
      </c>
      <c r="P66" s="154">
        <f>IF(MAX(Proposta!$N$14:$N$33)&lt;$P$113,"",Z16)</f>
        <v>189.38</v>
      </c>
      <c r="Q66" s="154">
        <f>IF(MAX(Proposta!$N$14:$N$33)&lt;$Q$113,"",AA16)</f>
        <v>203.03</v>
      </c>
      <c r="R66" s="154">
        <f>IF(MAX(Proposta!$N$14:$N$33)&lt;$R$113,"",AB16)</f>
        <v>216.83</v>
      </c>
      <c r="S66" s="154">
        <f>IF(MAX(Proposta!$N$14:$N$33)&lt;$S$113,"",AC16)</f>
        <v>230.76</v>
      </c>
      <c r="T66" s="154">
        <f>IF(MAX(Proposta!$N$14:$N$33)&lt;$T$113,"",AD16)</f>
        <v>244.83</v>
      </c>
      <c r="U66" s="154">
        <f>IF(MAX(Proposta!$N$14:$N$33)&lt;$U$113,"",AE16)</f>
        <v>259.05</v>
      </c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spans="1:41" ht="16.5" hidden="1" x14ac:dyDescent="0.2">
      <c r="A67" s="15"/>
      <c r="B67" s="15"/>
      <c r="C67" s="15"/>
      <c r="D67" s="15"/>
      <c r="E67" s="46">
        <f>IF(OR($F$61&lt;11,SUM(L67:U67)=0),0,1)</f>
        <v>0</v>
      </c>
      <c r="F67" s="15"/>
      <c r="G67" s="15"/>
      <c r="H67" s="15"/>
      <c r="I67" s="158" t="str">
        <f t="shared" si="8"/>
        <v xml:space="preserve">  Encargos Op. - SCR</v>
      </c>
      <c r="J67" s="158"/>
      <c r="K67" s="158"/>
      <c r="L67" s="154">
        <f>IF(MAX(Proposta!$N$14:$N$33)&lt;$L$113,"",V17)</f>
        <v>0</v>
      </c>
      <c r="M67" s="154">
        <f>IF(MAX(Proposta!$N$14:$N$33)&lt;$M$113,"",W17)</f>
        <v>0</v>
      </c>
      <c r="N67" s="154">
        <f>IF(MAX(Proposta!$N$14:$N$33)&lt;$N$113,"",X17)</f>
        <v>0</v>
      </c>
      <c r="O67" s="154">
        <f>IF(MAX(Proposta!$N$14:$N$33)&lt;$O$113,"",Y17)</f>
        <v>0</v>
      </c>
      <c r="P67" s="154">
        <f>IF(MAX(Proposta!$N$14:$N$33)&lt;$P$113,"",Z17)</f>
        <v>0</v>
      </c>
      <c r="Q67" s="154">
        <f>IF(MAX(Proposta!$N$14:$N$33)&lt;$Q$113,"",AA17)</f>
        <v>0</v>
      </c>
      <c r="R67" s="154">
        <f>IF(MAX(Proposta!$N$14:$N$33)&lt;$R$113,"",AB17)</f>
        <v>0</v>
      </c>
      <c r="S67" s="154">
        <f>IF(MAX(Proposta!$N$14:$N$33)&lt;$S$113,"",AC17)</f>
        <v>0</v>
      </c>
      <c r="T67" s="154">
        <f>IF(MAX(Proposta!$N$14:$N$33)&lt;$T$113,"",AD17)</f>
        <v>0</v>
      </c>
      <c r="U67" s="154">
        <f>IF(MAX(Proposta!$N$14:$N$33)&lt;$U$113,"",AE17)</f>
        <v>0</v>
      </c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spans="1:41" ht="16.5" hidden="1" x14ac:dyDescent="0.2">
      <c r="A68" s="15"/>
      <c r="B68" s="15"/>
      <c r="C68" s="15"/>
      <c r="D68" s="15"/>
      <c r="E68" s="46">
        <v>0</v>
      </c>
      <c r="F68" s="15"/>
      <c r="G68" s="15"/>
      <c r="H68" s="15"/>
      <c r="I68" s="158" t="str">
        <f t="shared" si="8"/>
        <v xml:space="preserve">  Encargos Op.1 - </v>
      </c>
      <c r="J68" s="158"/>
      <c r="K68" s="158"/>
      <c r="L68" s="154">
        <f>IF(MAX(Proposta!$N$14:$N$33)&lt;$L$113,"",V18)</f>
        <v>136.08000000000001</v>
      </c>
      <c r="M68" s="154">
        <f>IF(MAX(Proposta!$N$14:$N$33)&lt;$M$113,"",W18)</f>
        <v>149.21</v>
      </c>
      <c r="N68" s="154">
        <f>IF(MAX(Proposta!$N$14:$N$33)&lt;$N$113,"",X18)</f>
        <v>162.46</v>
      </c>
      <c r="O68" s="154">
        <f>IF(MAX(Proposta!$N$14:$N$33)&lt;$O$113,"",Y18)</f>
        <v>175.85</v>
      </c>
      <c r="P68" s="154">
        <f>IF(MAX(Proposta!$N$14:$N$33)&lt;$P$113,"",Z18)</f>
        <v>189.38</v>
      </c>
      <c r="Q68" s="154">
        <f>IF(MAX(Proposta!$N$14:$N$33)&lt;$Q$113,"",AA18)</f>
        <v>203.03</v>
      </c>
      <c r="R68" s="154">
        <f>IF(MAX(Proposta!$N$14:$N$33)&lt;$R$113,"",AB18)</f>
        <v>216.83</v>
      </c>
      <c r="S68" s="154">
        <f>IF(MAX(Proposta!$N$14:$N$33)&lt;$S$113,"",AC18)</f>
        <v>230.76</v>
      </c>
      <c r="T68" s="154">
        <f>IF(MAX(Proposta!$N$14:$N$33)&lt;$T$113,"",AD18)</f>
        <v>244.83</v>
      </c>
      <c r="U68" s="154">
        <f>IF(MAX(Proposta!$N$14:$N$33)&lt;$U$113,"",AE18)</f>
        <v>259.05</v>
      </c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spans="1:41" ht="16.5" hidden="1" x14ac:dyDescent="0.2">
      <c r="A69" s="15"/>
      <c r="B69" s="15"/>
      <c r="C69" s="15"/>
      <c r="D69" s="15"/>
      <c r="E69" s="46">
        <f t="shared" ref="E69:E86" si="9">IF(OR($F$61&lt;11,SUM(L69:U69)=0),0,1)</f>
        <v>0</v>
      </c>
      <c r="F69" s="15"/>
      <c r="G69" s="15"/>
      <c r="H69" s="15"/>
      <c r="I69" s="158" t="str">
        <f t="shared" si="8"/>
        <v xml:space="preserve">  Encargos Op.2 - </v>
      </c>
      <c r="J69" s="158"/>
      <c r="K69" s="158"/>
      <c r="L69" s="154">
        <f>IF(MAX(Proposta!$N$14:$N$33)&lt;$L$113,"",V19)</f>
        <v>0</v>
      </c>
      <c r="M69" s="154">
        <f>IF(MAX(Proposta!$N$14:$N$33)&lt;$M$113,"",W19)</f>
        <v>0</v>
      </c>
      <c r="N69" s="154">
        <f>IF(MAX(Proposta!$N$14:$N$33)&lt;$N$113,"",X19)</f>
        <v>0</v>
      </c>
      <c r="O69" s="154">
        <f>IF(MAX(Proposta!$N$14:$N$33)&lt;$O$113,"",Y19)</f>
        <v>0</v>
      </c>
      <c r="P69" s="154">
        <f>IF(MAX(Proposta!$N$14:$N$33)&lt;$P$113,"",Z19)</f>
        <v>0</v>
      </c>
      <c r="Q69" s="154">
        <f>IF(MAX(Proposta!$N$14:$N$33)&lt;$Q$113,"",AA19)</f>
        <v>0</v>
      </c>
      <c r="R69" s="154">
        <f>IF(MAX(Proposta!$N$14:$N$33)&lt;$R$113,"",AB19)</f>
        <v>0</v>
      </c>
      <c r="S69" s="154">
        <f>IF(MAX(Proposta!$N$14:$N$33)&lt;$S$113,"",AC19)</f>
        <v>0</v>
      </c>
      <c r="T69" s="154">
        <f>IF(MAX(Proposta!$N$14:$N$33)&lt;$T$113,"",AD19)</f>
        <v>0</v>
      </c>
      <c r="U69" s="154">
        <f>IF(MAX(Proposta!$N$14:$N$33)&lt;$U$113,"",AE19)</f>
        <v>0</v>
      </c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spans="1:41" ht="16.5" hidden="1" x14ac:dyDescent="0.2">
      <c r="A70" s="15"/>
      <c r="B70" s="15"/>
      <c r="C70" s="15"/>
      <c r="D70" s="15"/>
      <c r="E70" s="46">
        <f t="shared" si="9"/>
        <v>0</v>
      </c>
      <c r="F70" s="15"/>
      <c r="G70" s="15"/>
      <c r="H70" s="15"/>
      <c r="I70" s="158" t="str">
        <f t="shared" si="8"/>
        <v xml:space="preserve">  Encargos Op.3 - </v>
      </c>
      <c r="J70" s="158"/>
      <c r="K70" s="158"/>
      <c r="L70" s="154">
        <f>IF(MAX(Proposta!$N$14:$N$33)&lt;$L$113,"",V20)</f>
        <v>0</v>
      </c>
      <c r="M70" s="154">
        <f>IF(MAX(Proposta!$N$14:$N$33)&lt;$M$113,"",W20)</f>
        <v>0</v>
      </c>
      <c r="N70" s="154">
        <f>IF(MAX(Proposta!$N$14:$N$33)&lt;$N$113,"",X20)</f>
        <v>0</v>
      </c>
      <c r="O70" s="154">
        <f>IF(MAX(Proposta!$N$14:$N$33)&lt;$O$113,"",Y20)</f>
        <v>0</v>
      </c>
      <c r="P70" s="154">
        <f>IF(MAX(Proposta!$N$14:$N$33)&lt;$P$113,"",Z20)</f>
        <v>0</v>
      </c>
      <c r="Q70" s="154">
        <f>IF(MAX(Proposta!$N$14:$N$33)&lt;$Q$113,"",AA20)</f>
        <v>0</v>
      </c>
      <c r="R70" s="154">
        <f>IF(MAX(Proposta!$N$14:$N$33)&lt;$R$113,"",AB20)</f>
        <v>0</v>
      </c>
      <c r="S70" s="154">
        <f>IF(MAX(Proposta!$N$14:$N$33)&lt;$S$113,"",AC20)</f>
        <v>0</v>
      </c>
      <c r="T70" s="154">
        <f>IF(MAX(Proposta!$N$14:$N$33)&lt;$T$113,"",AD20)</f>
        <v>0</v>
      </c>
      <c r="U70" s="154">
        <f>IF(MAX(Proposta!$N$14:$N$33)&lt;$U$113,"",AE20)</f>
        <v>0</v>
      </c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spans="1:41" ht="16.5" hidden="1" x14ac:dyDescent="0.2">
      <c r="A71" s="15"/>
      <c r="B71" s="15"/>
      <c r="C71" s="15"/>
      <c r="D71" s="15"/>
      <c r="E71" s="46">
        <f t="shared" si="9"/>
        <v>0</v>
      </c>
      <c r="F71" s="15"/>
      <c r="G71" s="15"/>
      <c r="H71" s="15"/>
      <c r="I71" s="158" t="str">
        <f t="shared" si="8"/>
        <v xml:space="preserve">  Encargos Op.4 - </v>
      </c>
      <c r="J71" s="158"/>
      <c r="K71" s="158"/>
      <c r="L71" s="154">
        <f>IF(MAX(Proposta!$N$14:$N$33)&lt;$L$113,"",V21)</f>
        <v>0</v>
      </c>
      <c r="M71" s="154">
        <f>IF(MAX(Proposta!$N$14:$N$33)&lt;$M$113,"",W21)</f>
        <v>0</v>
      </c>
      <c r="N71" s="154">
        <f>IF(MAX(Proposta!$N$14:$N$33)&lt;$N$113,"",X21)</f>
        <v>0</v>
      </c>
      <c r="O71" s="154">
        <f>IF(MAX(Proposta!$N$14:$N$33)&lt;$O$113,"",Y21)</f>
        <v>0</v>
      </c>
      <c r="P71" s="154">
        <f>IF(MAX(Proposta!$N$14:$N$33)&lt;$P$113,"",Z21)</f>
        <v>0</v>
      </c>
      <c r="Q71" s="154">
        <f>IF(MAX(Proposta!$N$14:$N$33)&lt;$Q$113,"",AA21)</f>
        <v>0</v>
      </c>
      <c r="R71" s="154">
        <f>IF(MAX(Proposta!$N$14:$N$33)&lt;$R$113,"",AB21)</f>
        <v>0</v>
      </c>
      <c r="S71" s="154">
        <f>IF(MAX(Proposta!$N$14:$N$33)&lt;$S$113,"",AC21)</f>
        <v>0</v>
      </c>
      <c r="T71" s="154">
        <f>IF(MAX(Proposta!$N$14:$N$33)&lt;$T$113,"",AD21)</f>
        <v>0</v>
      </c>
      <c r="U71" s="154">
        <f>IF(MAX(Proposta!$N$14:$N$33)&lt;$U$113,"",AE21)</f>
        <v>0</v>
      </c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spans="1:41" ht="16.5" hidden="1" x14ac:dyDescent="0.2">
      <c r="A72" s="15"/>
      <c r="B72" s="15"/>
      <c r="C72" s="15"/>
      <c r="D72" s="15"/>
      <c r="E72" s="46">
        <f t="shared" si="9"/>
        <v>0</v>
      </c>
      <c r="F72" s="15"/>
      <c r="G72" s="15"/>
      <c r="H72" s="15"/>
      <c r="I72" s="158" t="str">
        <f t="shared" si="8"/>
        <v xml:space="preserve">  Encargos Op.5 - ,</v>
      </c>
      <c r="J72" s="158"/>
      <c r="K72" s="158"/>
      <c r="L72" s="154">
        <f>IF(MAX(Proposta!$N$14:$N$33)&lt;$L$113,"",V22)</f>
        <v>0</v>
      </c>
      <c r="M72" s="154">
        <f>IF(MAX(Proposta!$N$14:$N$33)&lt;$M$113,"",W22)</f>
        <v>0</v>
      </c>
      <c r="N72" s="154">
        <f>IF(MAX(Proposta!$N$14:$N$33)&lt;$N$113,"",X22)</f>
        <v>0</v>
      </c>
      <c r="O72" s="154">
        <f>IF(MAX(Proposta!$N$14:$N$33)&lt;$O$113,"",Y22)</f>
        <v>0</v>
      </c>
      <c r="P72" s="154">
        <f>IF(MAX(Proposta!$N$14:$N$33)&lt;$P$113,"",Z22)</f>
        <v>0</v>
      </c>
      <c r="Q72" s="154">
        <f>IF(MAX(Proposta!$N$14:$N$33)&lt;$Q$113,"",AA22)</f>
        <v>0</v>
      </c>
      <c r="R72" s="154">
        <f>IF(MAX(Proposta!$N$14:$N$33)&lt;$R$113,"",AB22)</f>
        <v>0</v>
      </c>
      <c r="S72" s="154">
        <f>IF(MAX(Proposta!$N$14:$N$33)&lt;$S$113,"",AC22)</f>
        <v>0</v>
      </c>
      <c r="T72" s="154">
        <f>IF(MAX(Proposta!$N$14:$N$33)&lt;$T$113,"",AD22)</f>
        <v>0</v>
      </c>
      <c r="U72" s="154">
        <f>IF(MAX(Proposta!$N$14:$N$33)&lt;$U$113,"",AE22)</f>
        <v>0</v>
      </c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spans="1:41" ht="16.5" hidden="1" x14ac:dyDescent="0.2">
      <c r="A73" s="15"/>
      <c r="B73" s="15"/>
      <c r="C73" s="15"/>
      <c r="D73" s="15"/>
      <c r="E73" s="46">
        <f t="shared" si="9"/>
        <v>0</v>
      </c>
      <c r="F73" s="15"/>
      <c r="G73" s="15"/>
      <c r="H73" s="15"/>
      <c r="I73" s="158" t="str">
        <f t="shared" si="8"/>
        <v xml:space="preserve">  Encargos Op.6 - </v>
      </c>
      <c r="J73" s="158"/>
      <c r="K73" s="158"/>
      <c r="L73" s="154">
        <f>IF(MAX(Proposta!$N$14:$N$33)&lt;$L$113,"",V23)</f>
        <v>0</v>
      </c>
      <c r="M73" s="154">
        <f>IF(MAX(Proposta!$N$14:$N$33)&lt;$M$113,"",W23)</f>
        <v>0</v>
      </c>
      <c r="N73" s="154">
        <f>IF(MAX(Proposta!$N$14:$N$33)&lt;$N$113,"",X23)</f>
        <v>0</v>
      </c>
      <c r="O73" s="154">
        <f>IF(MAX(Proposta!$N$14:$N$33)&lt;$O$113,"",Y23)</f>
        <v>0</v>
      </c>
      <c r="P73" s="154">
        <f>IF(MAX(Proposta!$N$14:$N$33)&lt;$P$113,"",Z23)</f>
        <v>0</v>
      </c>
      <c r="Q73" s="154">
        <f>IF(MAX(Proposta!$N$14:$N$33)&lt;$Q$113,"",AA23)</f>
        <v>0</v>
      </c>
      <c r="R73" s="154">
        <f>IF(MAX(Proposta!$N$14:$N$33)&lt;$R$113,"",AB23)</f>
        <v>0</v>
      </c>
      <c r="S73" s="154">
        <f>IF(MAX(Proposta!$N$14:$N$33)&lt;$S$113,"",AC23)</f>
        <v>0</v>
      </c>
      <c r="T73" s="154">
        <f>IF(MAX(Proposta!$N$14:$N$33)&lt;$T$113,"",AD23)</f>
        <v>0</v>
      </c>
      <c r="U73" s="154">
        <f>IF(MAX(Proposta!$N$14:$N$33)&lt;$U$113,"",AE23)</f>
        <v>0</v>
      </c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spans="1:41" ht="16.5" hidden="1" x14ac:dyDescent="0.2">
      <c r="A74" s="15"/>
      <c r="B74" s="15"/>
      <c r="C74" s="15"/>
      <c r="D74" s="15"/>
      <c r="E74" s="46">
        <f t="shared" si="9"/>
        <v>0</v>
      </c>
      <c r="F74" s="15"/>
      <c r="G74" s="15"/>
      <c r="H74" s="15"/>
      <c r="I74" s="158" t="str">
        <f t="shared" si="8"/>
        <v xml:space="preserve">  Encargos Op.7 - </v>
      </c>
      <c r="J74" s="158"/>
      <c r="K74" s="158"/>
      <c r="L74" s="154">
        <f>IF(MAX(Proposta!$N$14:$N$33)&lt;$L$113,"",V24)</f>
        <v>0</v>
      </c>
      <c r="M74" s="154">
        <f>IF(MAX(Proposta!$N$14:$N$33)&lt;$M$113,"",W24)</f>
        <v>0</v>
      </c>
      <c r="N74" s="154">
        <f>IF(MAX(Proposta!$N$14:$N$33)&lt;$N$113,"",X24)</f>
        <v>0</v>
      </c>
      <c r="O74" s="154">
        <f>IF(MAX(Proposta!$N$14:$N$33)&lt;$O$113,"",Y24)</f>
        <v>0</v>
      </c>
      <c r="P74" s="154">
        <f>IF(MAX(Proposta!$N$14:$N$33)&lt;$P$113,"",Z24)</f>
        <v>0</v>
      </c>
      <c r="Q74" s="154">
        <f>IF(MAX(Proposta!$N$14:$N$33)&lt;$Q$113,"",AA24)</f>
        <v>0</v>
      </c>
      <c r="R74" s="154">
        <f>IF(MAX(Proposta!$N$14:$N$33)&lt;$R$113,"",AB24)</f>
        <v>0</v>
      </c>
      <c r="S74" s="154">
        <f>IF(MAX(Proposta!$N$14:$N$33)&lt;$S$113,"",AC24)</f>
        <v>0</v>
      </c>
      <c r="T74" s="154">
        <f>IF(MAX(Proposta!$N$14:$N$33)&lt;$T$113,"",AD24)</f>
        <v>0</v>
      </c>
      <c r="U74" s="154">
        <f>IF(MAX(Proposta!$N$14:$N$33)&lt;$U$113,"",AE24)</f>
        <v>0</v>
      </c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spans="1:41" ht="16.5" hidden="1" x14ac:dyDescent="0.2">
      <c r="A75" s="15"/>
      <c r="B75" s="15"/>
      <c r="C75" s="15"/>
      <c r="D75" s="15"/>
      <c r="E75" s="46">
        <f t="shared" si="9"/>
        <v>0</v>
      </c>
      <c r="F75" s="233"/>
      <c r="G75" s="15"/>
      <c r="H75" s="15"/>
      <c r="I75" s="158" t="str">
        <f t="shared" si="8"/>
        <v xml:space="preserve">  Encargos Op.8 - </v>
      </c>
      <c r="J75" s="158"/>
      <c r="K75" s="158"/>
      <c r="L75" s="154">
        <f>IF(MAX(Proposta!$N$14:$N$33)&lt;$L$113,"",V25)</f>
        <v>0</v>
      </c>
      <c r="M75" s="154">
        <f>IF(MAX(Proposta!$N$14:$N$33)&lt;$M$113,"",W25)</f>
        <v>0</v>
      </c>
      <c r="N75" s="154">
        <f>IF(MAX(Proposta!$N$14:$N$33)&lt;$N$113,"",X25)</f>
        <v>0</v>
      </c>
      <c r="O75" s="154">
        <f>IF(MAX(Proposta!$N$14:$N$33)&lt;$O$113,"",Y25)</f>
        <v>0</v>
      </c>
      <c r="P75" s="154">
        <f>IF(MAX(Proposta!$N$14:$N$33)&lt;$P$113,"",Z25)</f>
        <v>0</v>
      </c>
      <c r="Q75" s="154">
        <f>IF(MAX(Proposta!$N$14:$N$33)&lt;$Q$113,"",AA25)</f>
        <v>0</v>
      </c>
      <c r="R75" s="154">
        <f>IF(MAX(Proposta!$N$14:$N$33)&lt;$R$113,"",AB25)</f>
        <v>0</v>
      </c>
      <c r="S75" s="154">
        <f>IF(MAX(Proposta!$N$14:$N$33)&lt;$S$113,"",AC25)</f>
        <v>0</v>
      </c>
      <c r="T75" s="154">
        <f>IF(MAX(Proposta!$N$14:$N$33)&lt;$T$113,"",AD25)</f>
        <v>0</v>
      </c>
      <c r="U75" s="154">
        <f>IF(MAX(Proposta!$N$14:$N$33)&lt;$U$113,"",AE25)</f>
        <v>0</v>
      </c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spans="1:41" ht="16.5" hidden="1" x14ac:dyDescent="0.2">
      <c r="A76" s="15"/>
      <c r="B76" s="15"/>
      <c r="C76" s="15"/>
      <c r="D76" s="15"/>
      <c r="E76" s="46">
        <f t="shared" si="9"/>
        <v>0</v>
      </c>
      <c r="F76" s="15"/>
      <c r="G76" s="15"/>
      <c r="H76" s="15"/>
      <c r="I76" s="158" t="str">
        <f t="shared" si="8"/>
        <v xml:space="preserve">  Encargos Op.9 - </v>
      </c>
      <c r="J76" s="158"/>
      <c r="K76" s="158"/>
      <c r="L76" s="154">
        <f>IF(MAX(Proposta!$N$14:$N$33)&lt;$L$113,"",V26)</f>
        <v>0</v>
      </c>
      <c r="M76" s="154">
        <f>IF(MAX(Proposta!$N$14:$N$33)&lt;$M$113,"",W26)</f>
        <v>0</v>
      </c>
      <c r="N76" s="154">
        <f>IF(MAX(Proposta!$N$14:$N$33)&lt;$N$113,"",X26)</f>
        <v>0</v>
      </c>
      <c r="O76" s="154">
        <f>IF(MAX(Proposta!$N$14:$N$33)&lt;$O$113,"",Y26)</f>
        <v>0</v>
      </c>
      <c r="P76" s="154">
        <f>IF(MAX(Proposta!$N$14:$N$33)&lt;$P$113,"",Z26)</f>
        <v>0</v>
      </c>
      <c r="Q76" s="154">
        <f>IF(MAX(Proposta!$N$14:$N$33)&lt;$Q$113,"",AA26)</f>
        <v>0</v>
      </c>
      <c r="R76" s="154">
        <f>IF(MAX(Proposta!$N$14:$N$33)&lt;$R$113,"",AB26)</f>
        <v>0</v>
      </c>
      <c r="S76" s="154">
        <f>IF(MAX(Proposta!$N$14:$N$33)&lt;$S$113,"",AC26)</f>
        <v>0</v>
      </c>
      <c r="T76" s="154">
        <f>IF(MAX(Proposta!$N$14:$N$33)&lt;$T$113,"",AD26)</f>
        <v>0</v>
      </c>
      <c r="U76" s="154">
        <f>IF(MAX(Proposta!$N$14:$N$33)&lt;$U$113,"",AE26)</f>
        <v>0</v>
      </c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spans="1:41" ht="16.5" hidden="1" x14ac:dyDescent="0.2">
      <c r="A77" s="15"/>
      <c r="B77" s="15"/>
      <c r="C77" s="15"/>
      <c r="D77" s="15"/>
      <c r="E77" s="46">
        <f t="shared" si="9"/>
        <v>0</v>
      </c>
      <c r="F77" s="15"/>
      <c r="G77" s="15"/>
      <c r="H77" s="15"/>
      <c r="I77" s="158" t="str">
        <f t="shared" si="8"/>
        <v xml:space="preserve">  Encargos Op.10 - </v>
      </c>
      <c r="J77" s="158"/>
      <c r="K77" s="158"/>
      <c r="L77" s="154">
        <f>IF(MAX(Proposta!$N$14:$N$33)&lt;$L$113,"",V27)</f>
        <v>0</v>
      </c>
      <c r="M77" s="154">
        <f>IF(MAX(Proposta!$N$14:$N$33)&lt;$M$113,"",W27)</f>
        <v>0</v>
      </c>
      <c r="N77" s="154">
        <f>IF(MAX(Proposta!$N$14:$N$33)&lt;$N$113,"",X27)</f>
        <v>0</v>
      </c>
      <c r="O77" s="154">
        <f>IF(MAX(Proposta!$N$14:$N$33)&lt;$O$113,"",Y27)</f>
        <v>0</v>
      </c>
      <c r="P77" s="154">
        <f>IF(MAX(Proposta!$N$14:$N$33)&lt;$P$113,"",Z27)</f>
        <v>0</v>
      </c>
      <c r="Q77" s="154">
        <f>IF(MAX(Proposta!$N$14:$N$33)&lt;$Q$113,"",AA27)</f>
        <v>0</v>
      </c>
      <c r="R77" s="154">
        <f>IF(MAX(Proposta!$N$14:$N$33)&lt;$R$113,"",AB27)</f>
        <v>0</v>
      </c>
      <c r="S77" s="154">
        <f>IF(MAX(Proposta!$N$14:$N$33)&lt;$S$113,"",AC27)</f>
        <v>0</v>
      </c>
      <c r="T77" s="154">
        <f>IF(MAX(Proposta!$N$14:$N$33)&lt;$T$113,"",AD27)</f>
        <v>0</v>
      </c>
      <c r="U77" s="154">
        <f>IF(MAX(Proposta!$N$14:$N$33)&lt;$U$113,"",AE27)</f>
        <v>0</v>
      </c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spans="1:41" ht="16.5" hidden="1" x14ac:dyDescent="0.2">
      <c r="A78" s="15"/>
      <c r="B78" s="15"/>
      <c r="C78" s="15"/>
      <c r="D78" s="15"/>
      <c r="E78" s="46">
        <f t="shared" si="9"/>
        <v>0</v>
      </c>
      <c r="F78" s="15"/>
      <c r="G78" s="15"/>
      <c r="H78" s="15"/>
      <c r="I78" s="158" t="str">
        <f t="shared" si="8"/>
        <v xml:space="preserve">  Encargos Op.11 - </v>
      </c>
      <c r="J78" s="158"/>
      <c r="K78" s="158"/>
      <c r="L78" s="154">
        <f>IF(MAX(Proposta!$N$14:$N$33)&lt;$L$113,"",V28)</f>
        <v>0</v>
      </c>
      <c r="M78" s="154">
        <f>IF(MAX(Proposta!$N$14:$N$33)&lt;$M$113,"",W28)</f>
        <v>0</v>
      </c>
      <c r="N78" s="154">
        <f>IF(MAX(Proposta!$N$14:$N$33)&lt;$N$113,"",X28)</f>
        <v>0</v>
      </c>
      <c r="O78" s="154">
        <f>IF(MAX(Proposta!$N$14:$N$33)&lt;$O$113,"",Y28)</f>
        <v>0</v>
      </c>
      <c r="P78" s="154">
        <f>IF(MAX(Proposta!$N$14:$N$33)&lt;$P$113,"",Z28)</f>
        <v>0</v>
      </c>
      <c r="Q78" s="154">
        <f>IF(MAX(Proposta!$N$14:$N$33)&lt;$Q$113,"",AA28)</f>
        <v>0</v>
      </c>
      <c r="R78" s="154">
        <f>IF(MAX(Proposta!$N$14:$N$33)&lt;$R$113,"",AB28)</f>
        <v>0</v>
      </c>
      <c r="S78" s="154">
        <f>IF(MAX(Proposta!$N$14:$N$33)&lt;$S$113,"",AC28)</f>
        <v>0</v>
      </c>
      <c r="T78" s="154">
        <f>IF(MAX(Proposta!$N$14:$N$33)&lt;$T$113,"",AD28)</f>
        <v>0</v>
      </c>
      <c r="U78" s="154">
        <f>IF(MAX(Proposta!$N$14:$N$33)&lt;$U$113,"",AE28)</f>
        <v>0</v>
      </c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spans="1:41" ht="16.5" hidden="1" x14ac:dyDescent="0.2">
      <c r="A79" s="15"/>
      <c r="B79" s="15"/>
      <c r="C79" s="15"/>
      <c r="D79" s="15"/>
      <c r="E79" s="46">
        <f t="shared" si="9"/>
        <v>0</v>
      </c>
      <c r="F79" s="15"/>
      <c r="G79" s="15"/>
      <c r="H79" s="15"/>
      <c r="I79" s="158" t="str">
        <f t="shared" si="8"/>
        <v xml:space="preserve">  Encargos Op.12 - </v>
      </c>
      <c r="J79" s="158"/>
      <c r="K79" s="158"/>
      <c r="L79" s="154">
        <f>IF(MAX(Proposta!$N$14:$N$33)&lt;$L$113,"",V29)</f>
        <v>0</v>
      </c>
      <c r="M79" s="154">
        <f>IF(MAX(Proposta!$N$14:$N$33)&lt;$M$113,"",W29)</f>
        <v>0</v>
      </c>
      <c r="N79" s="154">
        <f>IF(MAX(Proposta!$N$14:$N$33)&lt;$N$113,"",X29)</f>
        <v>0</v>
      </c>
      <c r="O79" s="154">
        <f>IF(MAX(Proposta!$N$14:$N$33)&lt;$O$113,"",Y29)</f>
        <v>0</v>
      </c>
      <c r="P79" s="154">
        <f>IF(MAX(Proposta!$N$14:$N$33)&lt;$P$113,"",Z29)</f>
        <v>0</v>
      </c>
      <c r="Q79" s="154">
        <f>IF(MAX(Proposta!$N$14:$N$33)&lt;$Q$113,"",AA29)</f>
        <v>0</v>
      </c>
      <c r="R79" s="154">
        <f>IF(MAX(Proposta!$N$14:$N$33)&lt;$R$113,"",AB29)</f>
        <v>0</v>
      </c>
      <c r="S79" s="154">
        <f>IF(MAX(Proposta!$N$14:$N$33)&lt;$S$113,"",AC29)</f>
        <v>0</v>
      </c>
      <c r="T79" s="154">
        <f>IF(MAX(Proposta!$N$14:$N$33)&lt;$T$113,"",AD29)</f>
        <v>0</v>
      </c>
      <c r="U79" s="154">
        <f>IF(MAX(Proposta!$N$14:$N$33)&lt;$U$113,"",AE29)</f>
        <v>0</v>
      </c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spans="1:41" ht="16.5" hidden="1" x14ac:dyDescent="0.2">
      <c r="A80" s="15"/>
      <c r="B80" s="15"/>
      <c r="C80" s="15"/>
      <c r="D80" s="15"/>
      <c r="E80" s="46">
        <f t="shared" si="9"/>
        <v>0</v>
      </c>
      <c r="F80" s="15"/>
      <c r="G80" s="15"/>
      <c r="H80" s="15"/>
      <c r="I80" s="158" t="str">
        <f t="shared" si="8"/>
        <v xml:space="preserve">  Encargos Op.13 - </v>
      </c>
      <c r="J80" s="158"/>
      <c r="K80" s="158"/>
      <c r="L80" s="154">
        <f>IF(MAX(Proposta!$N$14:$N$33)&lt;$L$113,"",V30)</f>
        <v>0</v>
      </c>
      <c r="M80" s="154">
        <f>IF(MAX(Proposta!$N$14:$N$33)&lt;$M$113,"",W30)</f>
        <v>0</v>
      </c>
      <c r="N80" s="154">
        <f>IF(MAX(Proposta!$N$14:$N$33)&lt;$N$113,"",X30)</f>
        <v>0</v>
      </c>
      <c r="O80" s="154">
        <f>IF(MAX(Proposta!$N$14:$N$33)&lt;$O$113,"",Y30)</f>
        <v>0</v>
      </c>
      <c r="P80" s="154">
        <f>IF(MAX(Proposta!$N$14:$N$33)&lt;$P$113,"",Z30)</f>
        <v>0</v>
      </c>
      <c r="Q80" s="154">
        <f>IF(MAX(Proposta!$N$14:$N$33)&lt;$Q$113,"",AA30)</f>
        <v>0</v>
      </c>
      <c r="R80" s="154">
        <f>IF(MAX(Proposta!$N$14:$N$33)&lt;$R$113,"",AB30)</f>
        <v>0</v>
      </c>
      <c r="S80" s="154">
        <f>IF(MAX(Proposta!$N$14:$N$33)&lt;$S$113,"",AC30)</f>
        <v>0</v>
      </c>
      <c r="T80" s="154">
        <f>IF(MAX(Proposta!$N$14:$N$33)&lt;$T$113,"",AD30)</f>
        <v>0</v>
      </c>
      <c r="U80" s="154">
        <f>IF(MAX(Proposta!$N$14:$N$33)&lt;$U$113,"",AE30)</f>
        <v>0</v>
      </c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spans="1:41" ht="16.5" hidden="1" x14ac:dyDescent="0.2">
      <c r="A81" s="15"/>
      <c r="B81" s="15"/>
      <c r="C81" s="15"/>
      <c r="D81" s="15"/>
      <c r="E81" s="46">
        <f t="shared" si="9"/>
        <v>0</v>
      </c>
      <c r="F81" s="15"/>
      <c r="G81" s="15"/>
      <c r="H81" s="15"/>
      <c r="I81" s="158" t="str">
        <f t="shared" si="8"/>
        <v xml:space="preserve">  Encargos Op.14 - </v>
      </c>
      <c r="J81" s="158"/>
      <c r="K81" s="158"/>
      <c r="L81" s="154">
        <f>IF(MAX(Proposta!$N$14:$N$33)&lt;$L$113,"",V31)</f>
        <v>0</v>
      </c>
      <c r="M81" s="154">
        <f>IF(MAX(Proposta!$N$14:$N$33)&lt;$M$113,"",W31)</f>
        <v>0</v>
      </c>
      <c r="N81" s="154">
        <f>IF(MAX(Proposta!$N$14:$N$33)&lt;$N$113,"",X31)</f>
        <v>0</v>
      </c>
      <c r="O81" s="154">
        <f>IF(MAX(Proposta!$N$14:$N$33)&lt;$O$113,"",Y31)</f>
        <v>0</v>
      </c>
      <c r="P81" s="154">
        <f>IF(MAX(Proposta!$N$14:$N$33)&lt;$P$113,"",Z31)</f>
        <v>0</v>
      </c>
      <c r="Q81" s="154">
        <f>IF(MAX(Proposta!$N$14:$N$33)&lt;$Q$113,"",AA31)</f>
        <v>0</v>
      </c>
      <c r="R81" s="154">
        <f>IF(MAX(Proposta!$N$14:$N$33)&lt;$R$113,"",AB31)</f>
        <v>0</v>
      </c>
      <c r="S81" s="154">
        <f>IF(MAX(Proposta!$N$14:$N$33)&lt;$S$113,"",AC31)</f>
        <v>0</v>
      </c>
      <c r="T81" s="154">
        <f>IF(MAX(Proposta!$N$14:$N$33)&lt;$T$113,"",AD31)</f>
        <v>0</v>
      </c>
      <c r="U81" s="154">
        <f>IF(MAX(Proposta!$N$14:$N$33)&lt;$U$113,"",AE31)</f>
        <v>0</v>
      </c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spans="1:41" ht="16.5" hidden="1" x14ac:dyDescent="0.2">
      <c r="A82" s="15"/>
      <c r="B82" s="15"/>
      <c r="C82" s="15"/>
      <c r="D82" s="15"/>
      <c r="E82" s="46">
        <f t="shared" si="9"/>
        <v>0</v>
      </c>
      <c r="F82" s="15"/>
      <c r="G82" s="15"/>
      <c r="H82" s="15"/>
      <c r="I82" s="158" t="str">
        <f t="shared" si="8"/>
        <v xml:space="preserve">  Encargos Op.15 - </v>
      </c>
      <c r="J82" s="158"/>
      <c r="K82" s="158"/>
      <c r="L82" s="154">
        <f>IF(MAX(Proposta!$N$14:$N$33)&lt;$L$113,"",V32)</f>
        <v>0</v>
      </c>
      <c r="M82" s="154">
        <f>IF(MAX(Proposta!$N$14:$N$33)&lt;$M$113,"",W32)</f>
        <v>0</v>
      </c>
      <c r="N82" s="154">
        <f>IF(MAX(Proposta!$N$14:$N$33)&lt;$N$113,"",X32)</f>
        <v>0</v>
      </c>
      <c r="O82" s="154">
        <f>IF(MAX(Proposta!$N$14:$N$33)&lt;$O$113,"",Y32)</f>
        <v>0</v>
      </c>
      <c r="P82" s="154">
        <f>IF(MAX(Proposta!$N$14:$N$33)&lt;$P$113,"",Z32)</f>
        <v>0</v>
      </c>
      <c r="Q82" s="154">
        <f>IF(MAX(Proposta!$N$14:$N$33)&lt;$Q$113,"",AA32)</f>
        <v>0</v>
      </c>
      <c r="R82" s="154">
        <f>IF(MAX(Proposta!$N$14:$N$33)&lt;$R$113,"",AB32)</f>
        <v>0</v>
      </c>
      <c r="S82" s="154">
        <f>IF(MAX(Proposta!$N$14:$N$33)&lt;$S$113,"",AC32)</f>
        <v>0</v>
      </c>
      <c r="T82" s="154">
        <f>IF(MAX(Proposta!$N$14:$N$33)&lt;$T$113,"",AD32)</f>
        <v>0</v>
      </c>
      <c r="U82" s="154">
        <f>IF(MAX(Proposta!$N$14:$N$33)&lt;$U$113,"",AE32)</f>
        <v>0</v>
      </c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spans="1:41" ht="16.5" hidden="1" x14ac:dyDescent="0.2">
      <c r="A83" s="15"/>
      <c r="B83" s="15"/>
      <c r="C83" s="15"/>
      <c r="D83" s="15"/>
      <c r="E83" s="46">
        <f t="shared" si="9"/>
        <v>0</v>
      </c>
      <c r="F83" s="15"/>
      <c r="G83" s="15"/>
      <c r="H83" s="15"/>
      <c r="I83" s="158" t="str">
        <f t="shared" si="8"/>
        <v xml:space="preserve">  Encargos Op.16 - </v>
      </c>
      <c r="J83" s="158"/>
      <c r="K83" s="158"/>
      <c r="L83" s="154">
        <f>IF(MAX(Proposta!$N$14:$N$33)&lt;$L$113,"",V33)</f>
        <v>0</v>
      </c>
      <c r="M83" s="154">
        <f>IF(MAX(Proposta!$N$14:$N$33)&lt;$M$113,"",W33)</f>
        <v>0</v>
      </c>
      <c r="N83" s="154">
        <f>IF(MAX(Proposta!$N$14:$N$33)&lt;$N$113,"",X33)</f>
        <v>0</v>
      </c>
      <c r="O83" s="154">
        <f>IF(MAX(Proposta!$N$14:$N$33)&lt;$O$113,"",Y33)</f>
        <v>0</v>
      </c>
      <c r="P83" s="154">
        <f>IF(MAX(Proposta!$N$14:$N$33)&lt;$P$113,"",Z33)</f>
        <v>0</v>
      </c>
      <c r="Q83" s="154">
        <f>IF(MAX(Proposta!$N$14:$N$33)&lt;$Q$113,"",AA33)</f>
        <v>0</v>
      </c>
      <c r="R83" s="154">
        <f>IF(MAX(Proposta!$N$14:$N$33)&lt;$R$113,"",AB33)</f>
        <v>0</v>
      </c>
      <c r="S83" s="154">
        <f>IF(MAX(Proposta!$N$14:$N$33)&lt;$S$113,"",AC33)</f>
        <v>0</v>
      </c>
      <c r="T83" s="154">
        <f>IF(MAX(Proposta!$N$14:$N$33)&lt;$T$113,"",AD33)</f>
        <v>0</v>
      </c>
      <c r="U83" s="154">
        <f>IF(MAX(Proposta!$N$14:$N$33)&lt;$U$113,"",AE33)</f>
        <v>0</v>
      </c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spans="1:41" ht="16.5" hidden="1" x14ac:dyDescent="0.2">
      <c r="A84" s="15"/>
      <c r="B84" s="15"/>
      <c r="C84" s="15"/>
      <c r="D84" s="15"/>
      <c r="E84" s="46">
        <f t="shared" si="9"/>
        <v>0</v>
      </c>
      <c r="F84" s="15"/>
      <c r="G84" s="15"/>
      <c r="H84" s="15"/>
      <c r="I84" s="158" t="str">
        <f t="shared" si="8"/>
        <v xml:space="preserve">  Encargos Op.17 - </v>
      </c>
      <c r="J84" s="158"/>
      <c r="K84" s="158"/>
      <c r="L84" s="154">
        <f>IF(MAX(Proposta!$N$14:$N$33)&lt;$L$113,"",V34)</f>
        <v>0</v>
      </c>
      <c r="M84" s="154">
        <f>IF(MAX(Proposta!$N$14:$N$33)&lt;$M$113,"",W34)</f>
        <v>0</v>
      </c>
      <c r="N84" s="154">
        <f>IF(MAX(Proposta!$N$14:$N$33)&lt;$N$113,"",X34)</f>
        <v>0</v>
      </c>
      <c r="O84" s="154">
        <f>IF(MAX(Proposta!$N$14:$N$33)&lt;$O$113,"",Y34)</f>
        <v>0</v>
      </c>
      <c r="P84" s="154">
        <f>IF(MAX(Proposta!$N$14:$N$33)&lt;$P$113,"",Z34)</f>
        <v>0</v>
      </c>
      <c r="Q84" s="154">
        <f>IF(MAX(Proposta!$N$14:$N$33)&lt;$Q$113,"",AA34)</f>
        <v>0</v>
      </c>
      <c r="R84" s="154">
        <f>IF(MAX(Proposta!$N$14:$N$33)&lt;$R$113,"",AB34)</f>
        <v>0</v>
      </c>
      <c r="S84" s="154">
        <f>IF(MAX(Proposta!$N$14:$N$33)&lt;$S$113,"",AC34)</f>
        <v>0</v>
      </c>
      <c r="T84" s="154">
        <f>IF(MAX(Proposta!$N$14:$N$33)&lt;$T$113,"",AD34)</f>
        <v>0</v>
      </c>
      <c r="U84" s="154">
        <f>IF(MAX(Proposta!$N$14:$N$33)&lt;$U$113,"",AE34)</f>
        <v>0</v>
      </c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spans="1:41" ht="16.5" hidden="1" x14ac:dyDescent="0.2">
      <c r="A85" s="15"/>
      <c r="B85" s="15"/>
      <c r="C85" s="15"/>
      <c r="D85" s="15"/>
      <c r="E85" s="46">
        <f t="shared" si="9"/>
        <v>0</v>
      </c>
      <c r="F85" s="15"/>
      <c r="G85" s="15"/>
      <c r="H85" s="15"/>
      <c r="I85" s="158" t="str">
        <f t="shared" si="8"/>
        <v xml:space="preserve">  Encargos Op.18 - </v>
      </c>
      <c r="J85" s="158"/>
      <c r="K85" s="158"/>
      <c r="L85" s="154">
        <f>IF(MAX(Proposta!$N$14:$N$33)&lt;$L$113,"",V35)</f>
        <v>0</v>
      </c>
      <c r="M85" s="154">
        <f>IF(MAX(Proposta!$N$14:$N$33)&lt;$M$113,"",W35)</f>
        <v>0</v>
      </c>
      <c r="N85" s="154">
        <f>IF(MAX(Proposta!$N$14:$N$33)&lt;$N$113,"",X35)</f>
        <v>0</v>
      </c>
      <c r="O85" s="154">
        <f>IF(MAX(Proposta!$N$14:$N$33)&lt;$O$113,"",Y35)</f>
        <v>0</v>
      </c>
      <c r="P85" s="154">
        <f>IF(MAX(Proposta!$N$14:$N$33)&lt;$P$113,"",Z35)</f>
        <v>0</v>
      </c>
      <c r="Q85" s="154">
        <f>IF(MAX(Proposta!$N$14:$N$33)&lt;$Q$113,"",AA35)</f>
        <v>0</v>
      </c>
      <c r="R85" s="154">
        <f>IF(MAX(Proposta!$N$14:$N$33)&lt;$R$113,"",AB35)</f>
        <v>0</v>
      </c>
      <c r="S85" s="154">
        <f>IF(MAX(Proposta!$N$14:$N$33)&lt;$S$113,"",AC35)</f>
        <v>0</v>
      </c>
      <c r="T85" s="154">
        <f>IF(MAX(Proposta!$N$14:$N$33)&lt;$T$113,"",AD35)</f>
        <v>0</v>
      </c>
      <c r="U85" s="154">
        <f>IF(MAX(Proposta!$N$14:$N$33)&lt;$U$113,"",AE35)</f>
        <v>0</v>
      </c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spans="1:41" ht="16.5" hidden="1" x14ac:dyDescent="0.2">
      <c r="A86" s="15"/>
      <c r="B86" s="15"/>
      <c r="C86" s="15"/>
      <c r="D86" s="15"/>
      <c r="E86" s="46">
        <f t="shared" si="9"/>
        <v>0</v>
      </c>
      <c r="F86" s="15"/>
      <c r="G86" s="15"/>
      <c r="H86" s="15"/>
      <c r="I86" s="158" t="str">
        <f t="shared" si="8"/>
        <v xml:space="preserve">  Encargos Op.19 - </v>
      </c>
      <c r="J86" s="158"/>
      <c r="K86" s="158"/>
      <c r="L86" s="154">
        <f>IF(MAX(Proposta!$N$14:$N$33)&lt;$L$113,"",V36)</f>
        <v>0</v>
      </c>
      <c r="M86" s="154">
        <f>IF(MAX(Proposta!$N$14:$N$33)&lt;$M$113,"",W36)</f>
        <v>0</v>
      </c>
      <c r="N86" s="154">
        <f>IF(MAX(Proposta!$N$14:$N$33)&lt;$N$113,"",X36)</f>
        <v>0</v>
      </c>
      <c r="O86" s="154">
        <f>IF(MAX(Proposta!$N$14:$N$33)&lt;$O$113,"",Y36)</f>
        <v>0</v>
      </c>
      <c r="P86" s="154">
        <f>IF(MAX(Proposta!$N$14:$N$33)&lt;$P$113,"",Z36)</f>
        <v>0</v>
      </c>
      <c r="Q86" s="154">
        <f>IF(MAX(Proposta!$N$14:$N$33)&lt;$Q$113,"",AA36)</f>
        <v>0</v>
      </c>
      <c r="R86" s="154">
        <f>IF(MAX(Proposta!$N$14:$N$33)&lt;$R$113,"",AB36)</f>
        <v>0</v>
      </c>
      <c r="S86" s="154">
        <f>IF(MAX(Proposta!$N$14:$N$33)&lt;$S$113,"",AC36)</f>
        <v>0</v>
      </c>
      <c r="T86" s="154">
        <f>IF(MAX(Proposta!$N$14:$N$33)&lt;$T$113,"",AD36)</f>
        <v>0</v>
      </c>
      <c r="U86" s="154">
        <f>IF(MAX(Proposta!$N$14:$N$33)&lt;$U$113,"",AE36)</f>
        <v>0</v>
      </c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spans="1:41" ht="16.5" x14ac:dyDescent="0.25">
      <c r="A87" s="15"/>
      <c r="B87" s="15"/>
      <c r="C87" s="15"/>
      <c r="D87" s="15"/>
      <c r="E87" s="18">
        <f t="shared" ref="E87:E88" si="10">IF($F$61&gt;10,1,0)</f>
        <v>1</v>
      </c>
      <c r="F87" s="15"/>
      <c r="G87" s="15"/>
      <c r="H87" s="15"/>
      <c r="I87" s="158" t="str">
        <f t="shared" si="8"/>
        <v>CAPACIDADE DE PAGAMENTO</v>
      </c>
      <c r="J87" s="158"/>
      <c r="K87" s="158"/>
      <c r="L87" s="156">
        <f>IF(MAX(Proposta!$N$14:$N$33)&lt;$L$113,"",V37)</f>
        <v>11863.92</v>
      </c>
      <c r="M87" s="156">
        <f>IF(MAX(Proposta!$N$14:$N$33)&lt;$M$113,"",W37)</f>
        <v>11850.79</v>
      </c>
      <c r="N87" s="156">
        <f>IF(MAX(Proposta!$N$14:$N$33)&lt;$N$113,"",X37)</f>
        <v>11837.54</v>
      </c>
      <c r="O87" s="156">
        <f>IF(MAX(Proposta!$N$14:$N$33)&lt;$O$113,"",Y37)</f>
        <v>11824.15</v>
      </c>
      <c r="P87" s="156">
        <f>IF(MAX(Proposta!$N$14:$N$33)&lt;$P$113,"",Z37)</f>
        <v>11810.62</v>
      </c>
      <c r="Q87" s="156">
        <f>IF(MAX(Proposta!$N$14:$N$33)&lt;$Q$113,"",AA37)</f>
        <v>11796.97</v>
      </c>
      <c r="R87" s="156">
        <f>IF(MAX(Proposta!$N$14:$N$33)&lt;$R$113,"",AB37)</f>
        <v>11783.17</v>
      </c>
      <c r="S87" s="156">
        <f>IF(MAX(Proposta!$N$14:$N$33)&lt;$S$113,"",AC37)</f>
        <v>11769.24</v>
      </c>
      <c r="T87" s="156">
        <f>IF(MAX(Proposta!$N$14:$N$33)&lt;$T$113,"",AD37)</f>
        <v>11755.17</v>
      </c>
      <c r="U87" s="156">
        <f>IF(MAX(Proposta!$N$14:$N$33)&lt;$U$113,"",AE37)</f>
        <v>11740.95</v>
      </c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spans="1:41" ht="16.5" x14ac:dyDescent="0.25">
      <c r="A88" s="15"/>
      <c r="B88" s="15"/>
      <c r="C88" s="15"/>
      <c r="D88" s="15"/>
      <c r="E88" s="18">
        <f t="shared" si="10"/>
        <v>1</v>
      </c>
      <c r="F88" s="15"/>
      <c r="G88" s="15"/>
      <c r="H88" s="15"/>
      <c r="I88" s="158" t="str">
        <f t="shared" si="8"/>
        <v>Amortização (Principal) da Proposta</v>
      </c>
      <c r="J88" s="158"/>
      <c r="K88" s="158"/>
      <c r="L88" s="154">
        <f>IF(MAX(Proposta!$N$14:$N$33)&lt;$L$113,"",V38)</f>
        <v>1176.47</v>
      </c>
      <c r="M88" s="154">
        <f>IF(MAX(Proposta!$N$14:$N$33)&lt;$M$113,"",W38)</f>
        <v>1176.47</v>
      </c>
      <c r="N88" s="154">
        <f>IF(MAX(Proposta!$N$14:$N$33)&lt;$N$113,"",X38)</f>
        <v>1176.47</v>
      </c>
      <c r="O88" s="154">
        <f>IF(MAX(Proposta!$N$14:$N$33)&lt;$O$113,"",Y38)</f>
        <v>1176.47</v>
      </c>
      <c r="P88" s="154">
        <f>IF(MAX(Proposta!$N$14:$N$33)&lt;$P$113,"",Z38)</f>
        <v>1176.47</v>
      </c>
      <c r="Q88" s="154">
        <f>IF(MAX(Proposta!$N$14:$N$33)&lt;$Q$113,"",AA38)</f>
        <v>1176.47</v>
      </c>
      <c r="R88" s="154">
        <f>IF(MAX(Proposta!$N$14:$N$33)&lt;$R$113,"",AB38)</f>
        <v>1176.47</v>
      </c>
      <c r="S88" s="154">
        <f>IF(MAX(Proposta!$N$14:$N$33)&lt;$S$113,"",AC38)</f>
        <v>1176.47</v>
      </c>
      <c r="T88" s="154">
        <f>IF(MAX(Proposta!$N$14:$N$33)&lt;$T$113,"",AD38)</f>
        <v>1176.47</v>
      </c>
      <c r="U88" s="154">
        <f>IF(MAX(Proposta!$N$14:$N$33)&lt;$U$113,"",AE38)</f>
        <v>1176.48</v>
      </c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spans="1:41" ht="16.5" hidden="1" x14ac:dyDescent="0.2">
      <c r="A89" s="15"/>
      <c r="B89" s="15"/>
      <c r="C89" s="15"/>
      <c r="D89" s="15"/>
      <c r="E89" s="46">
        <f>IF(OR($F$61&lt;11,SUM(L89:U89)=0),0,1)</f>
        <v>0</v>
      </c>
      <c r="F89" s="15"/>
      <c r="G89" s="15"/>
      <c r="H89" s="15"/>
      <c r="I89" s="158" t="str">
        <f t="shared" si="8"/>
        <v xml:space="preserve">  Amort. Op.  - SCR</v>
      </c>
      <c r="J89" s="158"/>
      <c r="K89" s="158"/>
      <c r="L89" s="154">
        <f>IF(MAX(Proposta!$N$14:$N$33)&lt;$L$113,"",V39)</f>
        <v>0</v>
      </c>
      <c r="M89" s="154">
        <f>IF(MAX(Proposta!$N$14:$N$33)&lt;$M$113,"",W39)</f>
        <v>0</v>
      </c>
      <c r="N89" s="154">
        <f>IF(MAX(Proposta!$N$14:$N$33)&lt;$N$113,"",X39)</f>
        <v>0</v>
      </c>
      <c r="O89" s="154">
        <f>IF(MAX(Proposta!$N$14:$N$33)&lt;$O$113,"",Y39)</f>
        <v>0</v>
      </c>
      <c r="P89" s="154">
        <f>IF(MAX(Proposta!$N$14:$N$33)&lt;$P$113,"",Z39)</f>
        <v>0</v>
      </c>
      <c r="Q89" s="154">
        <f>IF(MAX(Proposta!$N$14:$N$33)&lt;$Q$113,"",AA39)</f>
        <v>0</v>
      </c>
      <c r="R89" s="154">
        <f>IF(MAX(Proposta!$N$14:$N$33)&lt;$R$113,"",AB39)</f>
        <v>0</v>
      </c>
      <c r="S89" s="154">
        <f>IF(MAX(Proposta!$N$14:$N$33)&lt;$S$113,"",AC39)</f>
        <v>0</v>
      </c>
      <c r="T89" s="154">
        <f>IF(MAX(Proposta!$N$14:$N$33)&lt;$T$113,"",AD39)</f>
        <v>0</v>
      </c>
      <c r="U89" s="154">
        <f>IF(MAX(Proposta!$N$14:$N$33)&lt;$U$113,"",AE39)</f>
        <v>0</v>
      </c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spans="1:41" ht="16.5" hidden="1" x14ac:dyDescent="0.2">
      <c r="A90" s="15"/>
      <c r="B90" s="15"/>
      <c r="C90" s="15"/>
      <c r="D90" s="15"/>
      <c r="E90" s="46">
        <v>0</v>
      </c>
      <c r="F90" s="15"/>
      <c r="G90" s="15"/>
      <c r="H90" s="15"/>
      <c r="I90" s="158" t="str">
        <f t="shared" si="8"/>
        <v xml:space="preserve">  Amort.(Principal) Op. 1 - </v>
      </c>
      <c r="J90" s="158"/>
      <c r="K90" s="158"/>
      <c r="L90" s="154">
        <f>IF(MAX(Proposta!$N$14:$N$33)&lt;$L$113,"",V40)</f>
        <v>1176.47</v>
      </c>
      <c r="M90" s="154">
        <f>IF(MAX(Proposta!$N$14:$N$33)&lt;$M$113,"",W40)</f>
        <v>1176.47</v>
      </c>
      <c r="N90" s="154">
        <f>IF(MAX(Proposta!$N$14:$N$33)&lt;$N$113,"",X40)</f>
        <v>1176.47</v>
      </c>
      <c r="O90" s="154">
        <f>IF(MAX(Proposta!$N$14:$N$33)&lt;$O$113,"",Y40)</f>
        <v>1176.47</v>
      </c>
      <c r="P90" s="154">
        <f>IF(MAX(Proposta!$N$14:$N$33)&lt;$P$113,"",Z40)</f>
        <v>1176.47</v>
      </c>
      <c r="Q90" s="154">
        <f>IF(MAX(Proposta!$N$14:$N$33)&lt;$Q$113,"",AA40)</f>
        <v>1176.47</v>
      </c>
      <c r="R90" s="154">
        <f>IF(MAX(Proposta!$N$14:$N$33)&lt;$R$113,"",AB40)</f>
        <v>1176.47</v>
      </c>
      <c r="S90" s="154">
        <f>IF(MAX(Proposta!$N$14:$N$33)&lt;$S$113,"",AC40)</f>
        <v>1176.47</v>
      </c>
      <c r="T90" s="154">
        <f>IF(MAX(Proposta!$N$14:$N$33)&lt;$T$113,"",AD40)</f>
        <v>1176.47</v>
      </c>
      <c r="U90" s="154">
        <f>IF(MAX(Proposta!$N$14:$N$33)&lt;$U$113,"",AE40)</f>
        <v>1176.48</v>
      </c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spans="1:41" ht="16.5" hidden="1" x14ac:dyDescent="0.2">
      <c r="A91" s="15"/>
      <c r="B91" s="15"/>
      <c r="C91" s="15"/>
      <c r="D91" s="15"/>
      <c r="E91" s="46">
        <f t="shared" ref="E91:E108" si="11">IF(OR($F$61&lt;11,SUM(L91:U91)=0),0,1)</f>
        <v>0</v>
      </c>
      <c r="F91" s="15"/>
      <c r="G91" s="15"/>
      <c r="H91" s="15"/>
      <c r="I91" s="158" t="str">
        <f t="shared" si="8"/>
        <v xml:space="preserve">  Amort.(Principal) Op. 2 - </v>
      </c>
      <c r="J91" s="158"/>
      <c r="K91" s="158"/>
      <c r="L91" s="154">
        <f>IF(MAX(Proposta!$N$14:$N$33)&lt;$L$113,"",V41)</f>
        <v>0</v>
      </c>
      <c r="M91" s="154">
        <f>IF(MAX(Proposta!$N$14:$N$33)&lt;$M$113,"",W41)</f>
        <v>0</v>
      </c>
      <c r="N91" s="154">
        <f>IF(MAX(Proposta!$N$14:$N$33)&lt;$N$113,"",X41)</f>
        <v>0</v>
      </c>
      <c r="O91" s="154">
        <f>IF(MAX(Proposta!$N$14:$N$33)&lt;$O$113,"",Y41)</f>
        <v>0</v>
      </c>
      <c r="P91" s="154">
        <f>IF(MAX(Proposta!$N$14:$N$33)&lt;$P$113,"",Z41)</f>
        <v>0</v>
      </c>
      <c r="Q91" s="154">
        <f>IF(MAX(Proposta!$N$14:$N$33)&lt;$Q$113,"",AA41)</f>
        <v>0</v>
      </c>
      <c r="R91" s="154">
        <f>IF(MAX(Proposta!$N$14:$N$33)&lt;$R$113,"",AB41)</f>
        <v>0</v>
      </c>
      <c r="S91" s="154">
        <f>IF(MAX(Proposta!$N$14:$N$33)&lt;$S$113,"",AC41)</f>
        <v>0</v>
      </c>
      <c r="T91" s="154">
        <f>IF(MAX(Proposta!$N$14:$N$33)&lt;$T$113,"",AD41)</f>
        <v>0</v>
      </c>
      <c r="U91" s="154">
        <f>IF(MAX(Proposta!$N$14:$N$33)&lt;$U$113,"",AE41)</f>
        <v>0</v>
      </c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spans="1:41" ht="16.5" hidden="1" x14ac:dyDescent="0.2">
      <c r="A92" s="15"/>
      <c r="B92" s="15"/>
      <c r="C92" s="15"/>
      <c r="D92" s="15"/>
      <c r="E92" s="46">
        <f t="shared" si="11"/>
        <v>0</v>
      </c>
      <c r="F92" s="15"/>
      <c r="G92" s="15"/>
      <c r="H92" s="15"/>
      <c r="I92" s="158" t="str">
        <f t="shared" si="8"/>
        <v xml:space="preserve">  Amort.(Principal) Op. 3 - </v>
      </c>
      <c r="J92" s="158"/>
      <c r="K92" s="158"/>
      <c r="L92" s="154">
        <f>IF(MAX(Proposta!$N$14:$N$33)&lt;$L$113,"",V42)</f>
        <v>0</v>
      </c>
      <c r="M92" s="154">
        <f>IF(MAX(Proposta!$N$14:$N$33)&lt;$M$113,"",W42)</f>
        <v>0</v>
      </c>
      <c r="N92" s="154">
        <f>IF(MAX(Proposta!$N$14:$N$33)&lt;$N$113,"",X42)</f>
        <v>0</v>
      </c>
      <c r="O92" s="154">
        <f>IF(MAX(Proposta!$N$14:$N$33)&lt;$O$113,"",Y42)</f>
        <v>0</v>
      </c>
      <c r="P92" s="154">
        <f>IF(MAX(Proposta!$N$14:$N$33)&lt;$P$113,"",Z42)</f>
        <v>0</v>
      </c>
      <c r="Q92" s="154">
        <f>IF(MAX(Proposta!$N$14:$N$33)&lt;$Q$113,"",AA42)</f>
        <v>0</v>
      </c>
      <c r="R92" s="154">
        <f>IF(MAX(Proposta!$N$14:$N$33)&lt;$R$113,"",AB42)</f>
        <v>0</v>
      </c>
      <c r="S92" s="154">
        <f>IF(MAX(Proposta!$N$14:$N$33)&lt;$S$113,"",AC42)</f>
        <v>0</v>
      </c>
      <c r="T92" s="154">
        <f>IF(MAX(Proposta!$N$14:$N$33)&lt;$T$113,"",AD42)</f>
        <v>0</v>
      </c>
      <c r="U92" s="154">
        <f>IF(MAX(Proposta!$N$14:$N$33)&lt;$U$113,"",AE42)</f>
        <v>0</v>
      </c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spans="1:41" ht="16.5" hidden="1" x14ac:dyDescent="0.2">
      <c r="A93" s="15"/>
      <c r="B93" s="15"/>
      <c r="C93" s="15"/>
      <c r="D93" s="15"/>
      <c r="E93" s="46">
        <f t="shared" si="11"/>
        <v>0</v>
      </c>
      <c r="F93" s="15"/>
      <c r="G93" s="15"/>
      <c r="H93" s="15"/>
      <c r="I93" s="158" t="str">
        <f t="shared" si="8"/>
        <v xml:space="preserve">  Amort.(Principal) Op. 4 - </v>
      </c>
      <c r="J93" s="158"/>
      <c r="K93" s="158"/>
      <c r="L93" s="154">
        <f>IF(MAX(Proposta!$N$14:$N$33)&lt;$L$113,"",V43)</f>
        <v>0</v>
      </c>
      <c r="M93" s="154">
        <f>IF(MAX(Proposta!$N$14:$N$33)&lt;$M$113,"",W43)</f>
        <v>0</v>
      </c>
      <c r="N93" s="154">
        <f>IF(MAX(Proposta!$N$14:$N$33)&lt;$N$113,"",X43)</f>
        <v>0</v>
      </c>
      <c r="O93" s="154">
        <f>IF(MAX(Proposta!$N$14:$N$33)&lt;$O$113,"",Y43)</f>
        <v>0</v>
      </c>
      <c r="P93" s="154">
        <f>IF(MAX(Proposta!$N$14:$N$33)&lt;$P$113,"",Z43)</f>
        <v>0</v>
      </c>
      <c r="Q93" s="154">
        <f>IF(MAX(Proposta!$N$14:$N$33)&lt;$Q$113,"",AA43)</f>
        <v>0</v>
      </c>
      <c r="R93" s="154">
        <f>IF(MAX(Proposta!$N$14:$N$33)&lt;$R$113,"",AB43)</f>
        <v>0</v>
      </c>
      <c r="S93" s="154">
        <f>IF(MAX(Proposta!$N$14:$N$33)&lt;$S$113,"",AC43)</f>
        <v>0</v>
      </c>
      <c r="T93" s="154">
        <f>IF(MAX(Proposta!$N$14:$N$33)&lt;$T$113,"",AD43)</f>
        <v>0</v>
      </c>
      <c r="U93" s="154">
        <f>IF(MAX(Proposta!$N$14:$N$33)&lt;$U$113,"",AE43)</f>
        <v>0</v>
      </c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spans="1:41" ht="16.5" hidden="1" x14ac:dyDescent="0.2">
      <c r="A94" s="15"/>
      <c r="B94" s="15"/>
      <c r="C94" s="15"/>
      <c r="D94" s="15"/>
      <c r="E94" s="46">
        <f t="shared" si="11"/>
        <v>0</v>
      </c>
      <c r="F94" s="15"/>
      <c r="G94" s="15"/>
      <c r="H94" s="15"/>
      <c r="I94" s="158" t="str">
        <f t="shared" si="8"/>
        <v xml:space="preserve">  Amort.(Principal) Op. 5 - ,</v>
      </c>
      <c r="J94" s="158"/>
      <c r="K94" s="158"/>
      <c r="L94" s="154">
        <f>IF(MAX(Proposta!$N$14:$N$33)&lt;$L$113,"",V44)</f>
        <v>0</v>
      </c>
      <c r="M94" s="154">
        <f>IF(MAX(Proposta!$N$14:$N$33)&lt;$M$113,"",W44)</f>
        <v>0</v>
      </c>
      <c r="N94" s="154">
        <f>IF(MAX(Proposta!$N$14:$N$33)&lt;$N$113,"",X44)</f>
        <v>0</v>
      </c>
      <c r="O94" s="154">
        <f>IF(MAX(Proposta!$N$14:$N$33)&lt;$O$113,"",Y44)</f>
        <v>0</v>
      </c>
      <c r="P94" s="154">
        <f>IF(MAX(Proposta!$N$14:$N$33)&lt;$P$113,"",Z44)</f>
        <v>0</v>
      </c>
      <c r="Q94" s="154">
        <f>IF(MAX(Proposta!$N$14:$N$33)&lt;$Q$113,"",AA44)</f>
        <v>0</v>
      </c>
      <c r="R94" s="154">
        <f>IF(MAX(Proposta!$N$14:$N$33)&lt;$R$113,"",AB44)</f>
        <v>0</v>
      </c>
      <c r="S94" s="154">
        <f>IF(MAX(Proposta!$N$14:$N$33)&lt;$S$113,"",AC44)</f>
        <v>0</v>
      </c>
      <c r="T94" s="154">
        <f>IF(MAX(Proposta!$N$14:$N$33)&lt;$T$113,"",AD44)</f>
        <v>0</v>
      </c>
      <c r="U94" s="154">
        <f>IF(MAX(Proposta!$N$14:$N$33)&lt;$U$113,"",AE44)</f>
        <v>0</v>
      </c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spans="1:41" ht="16.5" hidden="1" x14ac:dyDescent="0.2">
      <c r="A95" s="15"/>
      <c r="B95" s="15"/>
      <c r="C95" s="15"/>
      <c r="D95" s="15"/>
      <c r="E95" s="46">
        <f t="shared" si="11"/>
        <v>0</v>
      </c>
      <c r="F95" s="15"/>
      <c r="G95" s="15"/>
      <c r="H95" s="15"/>
      <c r="I95" s="158" t="str">
        <f t="shared" si="8"/>
        <v xml:space="preserve">  Amort.(Principal) Op. 6 - </v>
      </c>
      <c r="J95" s="158"/>
      <c r="K95" s="158"/>
      <c r="L95" s="154">
        <f>IF(MAX(Proposta!$N$14:$N$33)&lt;$L$113,"",V45)</f>
        <v>0</v>
      </c>
      <c r="M95" s="154">
        <f>IF(MAX(Proposta!$N$14:$N$33)&lt;$M$113,"",W45)</f>
        <v>0</v>
      </c>
      <c r="N95" s="154">
        <f>IF(MAX(Proposta!$N$14:$N$33)&lt;$N$113,"",X45)</f>
        <v>0</v>
      </c>
      <c r="O95" s="154">
        <f>IF(MAX(Proposta!$N$14:$N$33)&lt;$O$113,"",Y45)</f>
        <v>0</v>
      </c>
      <c r="P95" s="154">
        <f>IF(MAX(Proposta!$N$14:$N$33)&lt;$P$113,"",Z45)</f>
        <v>0</v>
      </c>
      <c r="Q95" s="154">
        <f>IF(MAX(Proposta!$N$14:$N$33)&lt;$Q$113,"",AA45)</f>
        <v>0</v>
      </c>
      <c r="R95" s="154">
        <f>IF(MAX(Proposta!$N$14:$N$33)&lt;$R$113,"",AB45)</f>
        <v>0</v>
      </c>
      <c r="S95" s="154">
        <f>IF(MAX(Proposta!$N$14:$N$33)&lt;$S$113,"",AC45)</f>
        <v>0</v>
      </c>
      <c r="T95" s="154">
        <f>IF(MAX(Proposta!$N$14:$N$33)&lt;$T$113,"",AD45)</f>
        <v>0</v>
      </c>
      <c r="U95" s="154">
        <f>IF(MAX(Proposta!$N$14:$N$33)&lt;$U$113,"",AE45)</f>
        <v>0</v>
      </c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spans="1:41" ht="16.5" hidden="1" x14ac:dyDescent="0.2">
      <c r="A96" s="15"/>
      <c r="B96" s="15"/>
      <c r="C96" s="15"/>
      <c r="D96" s="15"/>
      <c r="E96" s="46">
        <f t="shared" si="11"/>
        <v>0</v>
      </c>
      <c r="F96" s="15"/>
      <c r="G96" s="15"/>
      <c r="H96" s="15"/>
      <c r="I96" s="158" t="str">
        <f t="shared" si="8"/>
        <v xml:space="preserve">  Amort.(Principal) Op. 7 - </v>
      </c>
      <c r="J96" s="158"/>
      <c r="K96" s="158"/>
      <c r="L96" s="154">
        <f>IF(MAX(Proposta!$N$14:$N$33)&lt;$L$113,"",V46)</f>
        <v>0</v>
      </c>
      <c r="M96" s="154">
        <f>IF(MAX(Proposta!$N$14:$N$33)&lt;$M$113,"",W46)</f>
        <v>0</v>
      </c>
      <c r="N96" s="154">
        <f>IF(MAX(Proposta!$N$14:$N$33)&lt;$N$113,"",X46)</f>
        <v>0</v>
      </c>
      <c r="O96" s="154">
        <f>IF(MAX(Proposta!$N$14:$N$33)&lt;$O$113,"",Y46)</f>
        <v>0</v>
      </c>
      <c r="P96" s="154">
        <f>IF(MAX(Proposta!$N$14:$N$33)&lt;$P$113,"",Z46)</f>
        <v>0</v>
      </c>
      <c r="Q96" s="154">
        <f>IF(MAX(Proposta!$N$14:$N$33)&lt;$Q$113,"",AA46)</f>
        <v>0</v>
      </c>
      <c r="R96" s="154">
        <f>IF(MAX(Proposta!$N$14:$N$33)&lt;$R$113,"",AB46)</f>
        <v>0</v>
      </c>
      <c r="S96" s="154">
        <f>IF(MAX(Proposta!$N$14:$N$33)&lt;$S$113,"",AC46)</f>
        <v>0</v>
      </c>
      <c r="T96" s="154">
        <f>IF(MAX(Proposta!$N$14:$N$33)&lt;$T$113,"",AD46)</f>
        <v>0</v>
      </c>
      <c r="U96" s="154">
        <f>IF(MAX(Proposta!$N$14:$N$33)&lt;$U$113,"",AE46)</f>
        <v>0</v>
      </c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spans="1:41" ht="16.5" hidden="1" x14ac:dyDescent="0.2">
      <c r="A97" s="15"/>
      <c r="B97" s="15"/>
      <c r="C97" s="15"/>
      <c r="D97" s="15"/>
      <c r="E97" s="46">
        <f t="shared" si="11"/>
        <v>0</v>
      </c>
      <c r="F97" s="15"/>
      <c r="G97" s="15"/>
      <c r="H97" s="15"/>
      <c r="I97" s="158" t="str">
        <f t="shared" si="8"/>
        <v xml:space="preserve">  Amort.(Principal) Op. 8 - </v>
      </c>
      <c r="J97" s="158"/>
      <c r="K97" s="158"/>
      <c r="L97" s="154">
        <f>IF(MAX(Proposta!$N$14:$N$33)&lt;$L$113,"",V47)</f>
        <v>0</v>
      </c>
      <c r="M97" s="154">
        <f>IF(MAX(Proposta!$N$14:$N$33)&lt;$M$113,"",W47)</f>
        <v>0</v>
      </c>
      <c r="N97" s="154">
        <f>IF(MAX(Proposta!$N$14:$N$33)&lt;$N$113,"",X47)</f>
        <v>0</v>
      </c>
      <c r="O97" s="154">
        <f>IF(MAX(Proposta!$N$14:$N$33)&lt;$O$113,"",Y47)</f>
        <v>0</v>
      </c>
      <c r="P97" s="154">
        <f>IF(MAX(Proposta!$N$14:$N$33)&lt;$P$113,"",Z47)</f>
        <v>0</v>
      </c>
      <c r="Q97" s="154">
        <f>IF(MAX(Proposta!$N$14:$N$33)&lt;$Q$113,"",AA47)</f>
        <v>0</v>
      </c>
      <c r="R97" s="154">
        <f>IF(MAX(Proposta!$N$14:$N$33)&lt;$R$113,"",AB47)</f>
        <v>0</v>
      </c>
      <c r="S97" s="154">
        <f>IF(MAX(Proposta!$N$14:$N$33)&lt;$S$113,"",AC47)</f>
        <v>0</v>
      </c>
      <c r="T97" s="154">
        <f>IF(MAX(Proposta!$N$14:$N$33)&lt;$T$113,"",AD47)</f>
        <v>0</v>
      </c>
      <c r="U97" s="154">
        <f>IF(MAX(Proposta!$N$14:$N$33)&lt;$U$113,"",AE47)</f>
        <v>0</v>
      </c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spans="1:41" ht="16.5" hidden="1" x14ac:dyDescent="0.2">
      <c r="A98" s="15"/>
      <c r="B98" s="15"/>
      <c r="C98" s="15"/>
      <c r="D98" s="15"/>
      <c r="E98" s="46">
        <f t="shared" si="11"/>
        <v>0</v>
      </c>
      <c r="F98" s="15"/>
      <c r="G98" s="15"/>
      <c r="H98" s="15"/>
      <c r="I98" s="158" t="str">
        <f t="shared" si="8"/>
        <v xml:space="preserve">  Amort.(Principal) Op. 9 - </v>
      </c>
      <c r="J98" s="158"/>
      <c r="K98" s="158"/>
      <c r="L98" s="154">
        <f>IF(MAX(Proposta!$N$14:$N$33)&lt;$L$113,"",V48)</f>
        <v>0</v>
      </c>
      <c r="M98" s="154">
        <f>IF(MAX(Proposta!$N$14:$N$33)&lt;$M$113,"",W48)</f>
        <v>0</v>
      </c>
      <c r="N98" s="154">
        <f>IF(MAX(Proposta!$N$14:$N$33)&lt;$N$113,"",X48)</f>
        <v>0</v>
      </c>
      <c r="O98" s="154">
        <f>IF(MAX(Proposta!$N$14:$N$33)&lt;$O$113,"",Y48)</f>
        <v>0</v>
      </c>
      <c r="P98" s="154">
        <f>IF(MAX(Proposta!$N$14:$N$33)&lt;$P$113,"",Z48)</f>
        <v>0</v>
      </c>
      <c r="Q98" s="154">
        <f>IF(MAX(Proposta!$N$14:$N$33)&lt;$Q$113,"",AA48)</f>
        <v>0</v>
      </c>
      <c r="R98" s="154">
        <f>IF(MAX(Proposta!$N$14:$N$33)&lt;$R$113,"",AB48)</f>
        <v>0</v>
      </c>
      <c r="S98" s="154">
        <f>IF(MAX(Proposta!$N$14:$N$33)&lt;$S$113,"",AC48)</f>
        <v>0</v>
      </c>
      <c r="T98" s="154">
        <f>IF(MAX(Proposta!$N$14:$N$33)&lt;$T$113,"",AD48)</f>
        <v>0</v>
      </c>
      <c r="U98" s="154">
        <f>IF(MAX(Proposta!$N$14:$N$33)&lt;$U$113,"",AE48)</f>
        <v>0</v>
      </c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spans="1:41" ht="16.5" hidden="1" x14ac:dyDescent="0.2">
      <c r="A99" s="15"/>
      <c r="B99" s="15"/>
      <c r="C99" s="15"/>
      <c r="D99" s="15"/>
      <c r="E99" s="46">
        <f t="shared" si="11"/>
        <v>0</v>
      </c>
      <c r="F99" s="15"/>
      <c r="G99" s="15"/>
      <c r="H99" s="15"/>
      <c r="I99" s="158" t="str">
        <f t="shared" si="8"/>
        <v xml:space="preserve">  Amort.(Principal) Op. 10 - </v>
      </c>
      <c r="J99" s="158"/>
      <c r="K99" s="158"/>
      <c r="L99" s="154">
        <f>IF(MAX(Proposta!$N$14:$N$33)&lt;$L$113,"",V49)</f>
        <v>0</v>
      </c>
      <c r="M99" s="154">
        <f>IF(MAX(Proposta!$N$14:$N$33)&lt;$M$113,"",W49)</f>
        <v>0</v>
      </c>
      <c r="N99" s="154">
        <f>IF(MAX(Proposta!$N$14:$N$33)&lt;$N$113,"",X49)</f>
        <v>0</v>
      </c>
      <c r="O99" s="154">
        <f>IF(MAX(Proposta!$N$14:$N$33)&lt;$O$113,"",Y49)</f>
        <v>0</v>
      </c>
      <c r="P99" s="154">
        <f>IF(MAX(Proposta!$N$14:$N$33)&lt;$P$113,"",Z49)</f>
        <v>0</v>
      </c>
      <c r="Q99" s="154">
        <f>IF(MAX(Proposta!$N$14:$N$33)&lt;$Q$113,"",AA49)</f>
        <v>0</v>
      </c>
      <c r="R99" s="154">
        <f>IF(MAX(Proposta!$N$14:$N$33)&lt;$R$113,"",AB49)</f>
        <v>0</v>
      </c>
      <c r="S99" s="154">
        <f>IF(MAX(Proposta!$N$14:$N$33)&lt;$S$113,"",AC49)</f>
        <v>0</v>
      </c>
      <c r="T99" s="154">
        <f>IF(MAX(Proposta!$N$14:$N$33)&lt;$T$113,"",AD49)</f>
        <v>0</v>
      </c>
      <c r="U99" s="154">
        <f>IF(MAX(Proposta!$N$14:$N$33)&lt;$U$113,"",AE49)</f>
        <v>0</v>
      </c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spans="1:41" ht="16.5" hidden="1" x14ac:dyDescent="0.2">
      <c r="A100" s="15"/>
      <c r="B100" s="15"/>
      <c r="C100" s="15"/>
      <c r="D100" s="15"/>
      <c r="E100" s="46">
        <f t="shared" si="11"/>
        <v>0</v>
      </c>
      <c r="F100" s="15"/>
      <c r="G100" s="15"/>
      <c r="H100" s="15"/>
      <c r="I100" s="158" t="str">
        <f t="shared" si="8"/>
        <v xml:space="preserve">  Amort.(Principal) Op. 11 - </v>
      </c>
      <c r="J100" s="158"/>
      <c r="K100" s="158"/>
      <c r="L100" s="154">
        <f>IF(MAX(Proposta!$N$14:$N$33)&lt;$L$113,"",V50)</f>
        <v>0</v>
      </c>
      <c r="M100" s="154">
        <f>IF(MAX(Proposta!$N$14:$N$33)&lt;$M$113,"",W50)</f>
        <v>0</v>
      </c>
      <c r="N100" s="154">
        <f>IF(MAX(Proposta!$N$14:$N$33)&lt;$N$113,"",X50)</f>
        <v>0</v>
      </c>
      <c r="O100" s="154">
        <f>IF(MAX(Proposta!$N$14:$N$33)&lt;$O$113,"",Y50)</f>
        <v>0</v>
      </c>
      <c r="P100" s="154">
        <f>IF(MAX(Proposta!$N$14:$N$33)&lt;$P$113,"",Z50)</f>
        <v>0</v>
      </c>
      <c r="Q100" s="154">
        <f>IF(MAX(Proposta!$N$14:$N$33)&lt;$Q$113,"",AA50)</f>
        <v>0</v>
      </c>
      <c r="R100" s="154">
        <f>IF(MAX(Proposta!$N$14:$N$33)&lt;$R$113,"",AB50)</f>
        <v>0</v>
      </c>
      <c r="S100" s="154">
        <f>IF(MAX(Proposta!$N$14:$N$33)&lt;$S$113,"",AC50)</f>
        <v>0</v>
      </c>
      <c r="T100" s="154">
        <f>IF(MAX(Proposta!$N$14:$N$33)&lt;$T$113,"",AD50)</f>
        <v>0</v>
      </c>
      <c r="U100" s="154">
        <f>IF(MAX(Proposta!$N$14:$N$33)&lt;$U$113,"",AE50)</f>
        <v>0</v>
      </c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spans="1:41" ht="16.5" hidden="1" x14ac:dyDescent="0.2">
      <c r="A101" s="15"/>
      <c r="B101" s="15"/>
      <c r="C101" s="15"/>
      <c r="D101" s="15"/>
      <c r="E101" s="46">
        <f t="shared" si="11"/>
        <v>0</v>
      </c>
      <c r="F101" s="15"/>
      <c r="G101" s="15"/>
      <c r="H101" s="15"/>
      <c r="I101" s="158" t="str">
        <f t="shared" si="8"/>
        <v xml:space="preserve">  Amort.(Principal) Op. 12 - </v>
      </c>
      <c r="J101" s="158"/>
      <c r="K101" s="158"/>
      <c r="L101" s="154">
        <f>IF(MAX(Proposta!$N$14:$N$33)&lt;$L$113,"",V51)</f>
        <v>0</v>
      </c>
      <c r="M101" s="154">
        <f>IF(MAX(Proposta!$N$14:$N$33)&lt;$M$113,"",W51)</f>
        <v>0</v>
      </c>
      <c r="N101" s="154">
        <f>IF(MAX(Proposta!$N$14:$N$33)&lt;$N$113,"",X51)</f>
        <v>0</v>
      </c>
      <c r="O101" s="154">
        <f>IF(MAX(Proposta!$N$14:$N$33)&lt;$O$113,"",Y51)</f>
        <v>0</v>
      </c>
      <c r="P101" s="154">
        <f>IF(MAX(Proposta!$N$14:$N$33)&lt;$P$113,"",Z51)</f>
        <v>0</v>
      </c>
      <c r="Q101" s="154">
        <f>IF(MAX(Proposta!$N$14:$N$33)&lt;$Q$113,"",AA51)</f>
        <v>0</v>
      </c>
      <c r="R101" s="154">
        <f>IF(MAX(Proposta!$N$14:$N$33)&lt;$R$113,"",AB51)</f>
        <v>0</v>
      </c>
      <c r="S101" s="154">
        <f>IF(MAX(Proposta!$N$14:$N$33)&lt;$S$113,"",AC51)</f>
        <v>0</v>
      </c>
      <c r="T101" s="154">
        <f>IF(MAX(Proposta!$N$14:$N$33)&lt;$T$113,"",AD51)</f>
        <v>0</v>
      </c>
      <c r="U101" s="154">
        <f>IF(MAX(Proposta!$N$14:$N$33)&lt;$U$113,"",AE51)</f>
        <v>0</v>
      </c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spans="1:41" ht="16.5" hidden="1" x14ac:dyDescent="0.2">
      <c r="A102" s="15"/>
      <c r="B102" s="15"/>
      <c r="C102" s="15"/>
      <c r="D102" s="15"/>
      <c r="E102" s="46">
        <f t="shared" si="11"/>
        <v>0</v>
      </c>
      <c r="F102" s="15"/>
      <c r="G102" s="15"/>
      <c r="H102" s="15"/>
      <c r="I102" s="158" t="str">
        <f t="shared" si="8"/>
        <v xml:space="preserve">  Amort.(Principal) Op. 13 - </v>
      </c>
      <c r="J102" s="158"/>
      <c r="K102" s="158"/>
      <c r="L102" s="154">
        <f>IF(MAX(Proposta!$N$14:$N$33)&lt;$L$113,"",V52)</f>
        <v>0</v>
      </c>
      <c r="M102" s="154">
        <f>IF(MAX(Proposta!$N$14:$N$33)&lt;$M$113,"",W52)</f>
        <v>0</v>
      </c>
      <c r="N102" s="154">
        <f>IF(MAX(Proposta!$N$14:$N$33)&lt;$N$113,"",X52)</f>
        <v>0</v>
      </c>
      <c r="O102" s="154">
        <f>IF(MAX(Proposta!$N$14:$N$33)&lt;$O$113,"",Y52)</f>
        <v>0</v>
      </c>
      <c r="P102" s="154">
        <f>IF(MAX(Proposta!$N$14:$N$33)&lt;$P$113,"",Z52)</f>
        <v>0</v>
      </c>
      <c r="Q102" s="154">
        <f>IF(MAX(Proposta!$N$14:$N$33)&lt;$Q$113,"",AA52)</f>
        <v>0</v>
      </c>
      <c r="R102" s="154">
        <f>IF(MAX(Proposta!$N$14:$N$33)&lt;$R$113,"",AB52)</f>
        <v>0</v>
      </c>
      <c r="S102" s="154">
        <f>IF(MAX(Proposta!$N$14:$N$33)&lt;$S$113,"",AC52)</f>
        <v>0</v>
      </c>
      <c r="T102" s="154">
        <f>IF(MAX(Proposta!$N$14:$N$33)&lt;$T$113,"",AD52)</f>
        <v>0</v>
      </c>
      <c r="U102" s="154">
        <f>IF(MAX(Proposta!$N$14:$N$33)&lt;$U$113,"",AE52)</f>
        <v>0</v>
      </c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spans="1:41" ht="16.5" hidden="1" x14ac:dyDescent="0.2">
      <c r="A103" s="15"/>
      <c r="B103" s="15"/>
      <c r="C103" s="15"/>
      <c r="D103" s="15"/>
      <c r="E103" s="46">
        <f t="shared" si="11"/>
        <v>0</v>
      </c>
      <c r="F103" s="15"/>
      <c r="G103" s="15"/>
      <c r="H103" s="15"/>
      <c r="I103" s="158" t="str">
        <f t="shared" si="8"/>
        <v xml:space="preserve">  Amort.(Principal) Op. 14 - </v>
      </c>
      <c r="J103" s="158"/>
      <c r="K103" s="158"/>
      <c r="L103" s="154">
        <f>IF(MAX(Proposta!$N$14:$N$33)&lt;$L$113,"",V53)</f>
        <v>0</v>
      </c>
      <c r="M103" s="154">
        <f>IF(MAX(Proposta!$N$14:$N$33)&lt;$M$113,"",W53)</f>
        <v>0</v>
      </c>
      <c r="N103" s="154">
        <f>IF(MAX(Proposta!$N$14:$N$33)&lt;$N$113,"",X53)</f>
        <v>0</v>
      </c>
      <c r="O103" s="154">
        <f>IF(MAX(Proposta!$N$14:$N$33)&lt;$O$113,"",Y53)</f>
        <v>0</v>
      </c>
      <c r="P103" s="154">
        <f>IF(MAX(Proposta!$N$14:$N$33)&lt;$P$113,"",Z53)</f>
        <v>0</v>
      </c>
      <c r="Q103" s="154">
        <f>IF(MAX(Proposta!$N$14:$N$33)&lt;$Q$113,"",AA53)</f>
        <v>0</v>
      </c>
      <c r="R103" s="154">
        <f>IF(MAX(Proposta!$N$14:$N$33)&lt;$R$113,"",AB53)</f>
        <v>0</v>
      </c>
      <c r="S103" s="154">
        <f>IF(MAX(Proposta!$N$14:$N$33)&lt;$S$113,"",AC53)</f>
        <v>0</v>
      </c>
      <c r="T103" s="154">
        <f>IF(MAX(Proposta!$N$14:$N$33)&lt;$T$113,"",AD53)</f>
        <v>0</v>
      </c>
      <c r="U103" s="154">
        <f>IF(MAX(Proposta!$N$14:$N$33)&lt;$U$113,"",AE53)</f>
        <v>0</v>
      </c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spans="1:41" ht="16.5" hidden="1" x14ac:dyDescent="0.2">
      <c r="A104" s="15"/>
      <c r="B104" s="15"/>
      <c r="C104" s="15"/>
      <c r="D104" s="15"/>
      <c r="E104" s="46">
        <f t="shared" si="11"/>
        <v>0</v>
      </c>
      <c r="F104" s="15"/>
      <c r="G104" s="15"/>
      <c r="H104" s="15"/>
      <c r="I104" s="158" t="str">
        <f t="shared" si="8"/>
        <v xml:space="preserve">  Amort.(Principal) Op. 15 - </v>
      </c>
      <c r="J104" s="158"/>
      <c r="K104" s="158"/>
      <c r="L104" s="154">
        <f>IF(MAX(Proposta!$N$14:$N$33)&lt;$L$113,"",V54)</f>
        <v>0</v>
      </c>
      <c r="M104" s="154">
        <f>IF(MAX(Proposta!$N$14:$N$33)&lt;$M$113,"",W54)</f>
        <v>0</v>
      </c>
      <c r="N104" s="154">
        <f>IF(MAX(Proposta!$N$14:$N$33)&lt;$N$113,"",X54)</f>
        <v>0</v>
      </c>
      <c r="O104" s="154">
        <f>IF(MAX(Proposta!$N$14:$N$33)&lt;$O$113,"",Y54)</f>
        <v>0</v>
      </c>
      <c r="P104" s="154">
        <f>IF(MAX(Proposta!$N$14:$N$33)&lt;$P$113,"",Z54)</f>
        <v>0</v>
      </c>
      <c r="Q104" s="154">
        <f>IF(MAX(Proposta!$N$14:$N$33)&lt;$Q$113,"",AA54)</f>
        <v>0</v>
      </c>
      <c r="R104" s="154">
        <f>IF(MAX(Proposta!$N$14:$N$33)&lt;$R$113,"",AB54)</f>
        <v>0</v>
      </c>
      <c r="S104" s="154">
        <f>IF(MAX(Proposta!$N$14:$N$33)&lt;$S$113,"",AC54)</f>
        <v>0</v>
      </c>
      <c r="T104" s="154">
        <f>IF(MAX(Proposta!$N$14:$N$33)&lt;$T$113,"",AD54)</f>
        <v>0</v>
      </c>
      <c r="U104" s="154">
        <f>IF(MAX(Proposta!$N$14:$N$33)&lt;$U$113,"",AE54)</f>
        <v>0</v>
      </c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spans="1:41" ht="16.5" hidden="1" x14ac:dyDescent="0.2">
      <c r="A105" s="15"/>
      <c r="B105" s="15"/>
      <c r="C105" s="15"/>
      <c r="D105" s="15"/>
      <c r="E105" s="46">
        <f t="shared" si="11"/>
        <v>0</v>
      </c>
      <c r="F105" s="15"/>
      <c r="G105" s="15"/>
      <c r="H105" s="15"/>
      <c r="I105" s="158" t="str">
        <f t="shared" si="8"/>
        <v xml:space="preserve">  Amort.(Principal) Op. 16 - </v>
      </c>
      <c r="J105" s="158"/>
      <c r="K105" s="158"/>
      <c r="L105" s="154">
        <f>IF(MAX(Proposta!$N$14:$N$33)&lt;$L$113,"",V55)</f>
        <v>0</v>
      </c>
      <c r="M105" s="154">
        <f>IF(MAX(Proposta!$N$14:$N$33)&lt;$M$113,"",W55)</f>
        <v>0</v>
      </c>
      <c r="N105" s="154">
        <f>IF(MAX(Proposta!$N$14:$N$33)&lt;$N$113,"",X55)</f>
        <v>0</v>
      </c>
      <c r="O105" s="154">
        <f>IF(MAX(Proposta!$N$14:$N$33)&lt;$O$113,"",Y55)</f>
        <v>0</v>
      </c>
      <c r="P105" s="154">
        <f>IF(MAX(Proposta!$N$14:$N$33)&lt;$P$113,"",Z55)</f>
        <v>0</v>
      </c>
      <c r="Q105" s="154">
        <f>IF(MAX(Proposta!$N$14:$N$33)&lt;$Q$113,"",AA55)</f>
        <v>0</v>
      </c>
      <c r="R105" s="154">
        <f>IF(MAX(Proposta!$N$14:$N$33)&lt;$R$113,"",AB55)</f>
        <v>0</v>
      </c>
      <c r="S105" s="154">
        <f>IF(MAX(Proposta!$N$14:$N$33)&lt;$S$113,"",AC55)</f>
        <v>0</v>
      </c>
      <c r="T105" s="154">
        <f>IF(MAX(Proposta!$N$14:$N$33)&lt;$T$113,"",AD55)</f>
        <v>0</v>
      </c>
      <c r="U105" s="154">
        <f>IF(MAX(Proposta!$N$14:$N$33)&lt;$U$113,"",AE55)</f>
        <v>0</v>
      </c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spans="1:41" ht="16.5" hidden="1" x14ac:dyDescent="0.2">
      <c r="A106" s="15"/>
      <c r="B106" s="15"/>
      <c r="C106" s="15"/>
      <c r="D106" s="15"/>
      <c r="E106" s="46">
        <f t="shared" si="11"/>
        <v>0</v>
      </c>
      <c r="F106" s="15"/>
      <c r="G106" s="15"/>
      <c r="H106" s="15"/>
      <c r="I106" s="158" t="str">
        <f t="shared" si="8"/>
        <v xml:space="preserve">  Amort.(Principal) Op. 17 - </v>
      </c>
      <c r="J106" s="158"/>
      <c r="K106" s="158"/>
      <c r="L106" s="154">
        <f>IF(MAX(Proposta!$N$14:$N$33)&lt;$L$113,"",V56)</f>
        <v>0</v>
      </c>
      <c r="M106" s="154">
        <f>IF(MAX(Proposta!$N$14:$N$33)&lt;$M$113,"",W56)</f>
        <v>0</v>
      </c>
      <c r="N106" s="154">
        <f>IF(MAX(Proposta!$N$14:$N$33)&lt;$N$113,"",X56)</f>
        <v>0</v>
      </c>
      <c r="O106" s="154">
        <f>IF(MAX(Proposta!$N$14:$N$33)&lt;$O$113,"",Y56)</f>
        <v>0</v>
      </c>
      <c r="P106" s="154">
        <f>IF(MAX(Proposta!$N$14:$N$33)&lt;$P$113,"",Z56)</f>
        <v>0</v>
      </c>
      <c r="Q106" s="154">
        <f>IF(MAX(Proposta!$N$14:$N$33)&lt;$Q$113,"",AA56)</f>
        <v>0</v>
      </c>
      <c r="R106" s="154">
        <f>IF(MAX(Proposta!$N$14:$N$33)&lt;$R$113,"",AB56)</f>
        <v>0</v>
      </c>
      <c r="S106" s="154">
        <f>IF(MAX(Proposta!$N$14:$N$33)&lt;$S$113,"",AC56)</f>
        <v>0</v>
      </c>
      <c r="T106" s="154">
        <f>IF(MAX(Proposta!$N$14:$N$33)&lt;$T$113,"",AD56)</f>
        <v>0</v>
      </c>
      <c r="U106" s="154">
        <f>IF(MAX(Proposta!$N$14:$N$33)&lt;$U$113,"",AE56)</f>
        <v>0</v>
      </c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spans="1:41" ht="16.5" hidden="1" x14ac:dyDescent="0.2">
      <c r="A107" s="15"/>
      <c r="B107" s="15"/>
      <c r="C107" s="15"/>
      <c r="D107" s="15"/>
      <c r="E107" s="46">
        <f t="shared" si="11"/>
        <v>0</v>
      </c>
      <c r="F107" s="15"/>
      <c r="G107" s="15"/>
      <c r="H107" s="15"/>
      <c r="I107" s="158" t="str">
        <f t="shared" si="8"/>
        <v xml:space="preserve">  Amort.(Principal) Op. 18 - </v>
      </c>
      <c r="J107" s="158"/>
      <c r="K107" s="158"/>
      <c r="L107" s="154">
        <f>IF(MAX(Proposta!$N$14:$N$33)&lt;$L$113,"",V57)</f>
        <v>0</v>
      </c>
      <c r="M107" s="154">
        <f>IF(MAX(Proposta!$N$14:$N$33)&lt;$M$113,"",W57)</f>
        <v>0</v>
      </c>
      <c r="N107" s="154">
        <f>IF(MAX(Proposta!$N$14:$N$33)&lt;$N$113,"",X57)</f>
        <v>0</v>
      </c>
      <c r="O107" s="154">
        <f>IF(MAX(Proposta!$N$14:$N$33)&lt;$O$113,"",Y57)</f>
        <v>0</v>
      </c>
      <c r="P107" s="154">
        <f>IF(MAX(Proposta!$N$14:$N$33)&lt;$P$113,"",Z57)</f>
        <v>0</v>
      </c>
      <c r="Q107" s="154">
        <f>IF(MAX(Proposta!$N$14:$N$33)&lt;$Q$113,"",AA57)</f>
        <v>0</v>
      </c>
      <c r="R107" s="154">
        <f>IF(MAX(Proposta!$N$14:$N$33)&lt;$R$113,"",AB57)</f>
        <v>0</v>
      </c>
      <c r="S107" s="154">
        <f>IF(MAX(Proposta!$N$14:$N$33)&lt;$S$113,"",AC57)</f>
        <v>0</v>
      </c>
      <c r="T107" s="154">
        <f>IF(MAX(Proposta!$N$14:$N$33)&lt;$T$113,"",AD57)</f>
        <v>0</v>
      </c>
      <c r="U107" s="154">
        <f>IF(MAX(Proposta!$N$14:$N$33)&lt;$U$113,"",AE57)</f>
        <v>0</v>
      </c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spans="1:41" ht="16.5" hidden="1" x14ac:dyDescent="0.2">
      <c r="A108" s="15"/>
      <c r="B108" s="15"/>
      <c r="C108" s="15"/>
      <c r="D108" s="15"/>
      <c r="E108" s="46">
        <f t="shared" si="11"/>
        <v>0</v>
      </c>
      <c r="F108" s="15"/>
      <c r="G108" s="15"/>
      <c r="H108" s="15"/>
      <c r="I108" s="158" t="str">
        <f t="shared" si="8"/>
        <v xml:space="preserve">  Amort.(Principal) Op. 19 - </v>
      </c>
      <c r="J108" s="158"/>
      <c r="K108" s="158"/>
      <c r="L108" s="154">
        <f>IF(MAX(Proposta!$N$14:$N$33)&lt;$L$113,"",V58)</f>
        <v>0</v>
      </c>
      <c r="M108" s="154">
        <f>IF(MAX(Proposta!$N$14:$N$33)&lt;$M$113,"",W58)</f>
        <v>0</v>
      </c>
      <c r="N108" s="154">
        <f>IF(MAX(Proposta!$N$14:$N$33)&lt;$N$113,"",X58)</f>
        <v>0</v>
      </c>
      <c r="O108" s="154">
        <f>IF(MAX(Proposta!$N$14:$N$33)&lt;$O$113,"",Y58)</f>
        <v>0</v>
      </c>
      <c r="P108" s="154">
        <f>IF(MAX(Proposta!$N$14:$N$33)&lt;$P$113,"",Z58)</f>
        <v>0</v>
      </c>
      <c r="Q108" s="154">
        <f>IF(MAX(Proposta!$N$14:$N$33)&lt;$Q$113,"",AA58)</f>
        <v>0</v>
      </c>
      <c r="R108" s="154">
        <f>IF(MAX(Proposta!$N$14:$N$33)&lt;$R$113,"",AB58)</f>
        <v>0</v>
      </c>
      <c r="S108" s="154">
        <f>IF(MAX(Proposta!$N$14:$N$33)&lt;$S$113,"",AC58)</f>
        <v>0</v>
      </c>
      <c r="T108" s="154">
        <f>IF(MAX(Proposta!$N$14:$N$33)&lt;$T$113,"",AD58)</f>
        <v>0</v>
      </c>
      <c r="U108" s="154">
        <f>IF(MAX(Proposta!$N$14:$N$33)&lt;$U$113,"",AE58)</f>
        <v>0</v>
      </c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spans="1:41" ht="16.5" x14ac:dyDescent="0.25">
      <c r="A109" s="15"/>
      <c r="B109" s="15"/>
      <c r="C109" s="15"/>
      <c r="D109" s="15"/>
      <c r="E109" s="18">
        <f>IF($F$61&gt;10,1,0)</f>
        <v>1</v>
      </c>
      <c r="F109" s="230"/>
      <c r="G109" s="15"/>
      <c r="H109" s="15"/>
      <c r="I109" s="354" t="str">
        <f t="shared" si="8"/>
        <v>PERCENTUAL DE UTILIZAÇÃO (%)</v>
      </c>
      <c r="J109" s="298"/>
      <c r="K109" s="274"/>
      <c r="L109" s="156">
        <f>IF(MAX(Proposta!$N$14:$N$33)&lt;L113,"",V59)</f>
        <v>9.9163682829958404</v>
      </c>
      <c r="M109" s="156">
        <f>IF(MAX(Proposta!$N$14:$N$33)&lt;M113,"",W59)</f>
        <v>9.9273550539668651</v>
      </c>
      <c r="N109" s="156">
        <f>IF(MAX(Proposta!$N$14:$N$33)&lt;N113,"",X59)</f>
        <v>9.9384669449902603</v>
      </c>
      <c r="O109" s="156">
        <f>IF(MAX(Proposta!$N$14:$N$33)&lt;O113,"",Y59)</f>
        <v>9.9497215444661986</v>
      </c>
      <c r="P109" s="156">
        <f>IF(MAX(Proposta!$N$14:$N$33)&lt;P113,"",Z59)</f>
        <v>9.9611197379985121</v>
      </c>
      <c r="Q109" s="156">
        <f>IF(MAX(Proposta!$N$14:$N$33)&lt;Q113,"",AA59)</f>
        <v>9.9726455182983447</v>
      </c>
      <c r="R109" s="156">
        <f>IF(MAX(Proposta!$N$14:$N$33)&lt;R113,"",AB59)</f>
        <v>9.9843251009702829</v>
      </c>
      <c r="S109" s="156">
        <f>IF(MAX(Proposta!$N$14:$N$33)&lt;S113,"",AC59)</f>
        <v>9.9961424866856312</v>
      </c>
      <c r="T109" s="156">
        <f>IF(MAX(Proposta!$N$14:$N$33)&lt;T113,"",AD59)</f>
        <v>10.008107071186551</v>
      </c>
      <c r="U109" s="156">
        <f>IF(MAX(Proposta!$N$14:$N$33)&lt;U113,"",AE59)</f>
        <v>10.020313518071365</v>
      </c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spans="1:41" ht="15.75" x14ac:dyDescent="0.25">
      <c r="A110" s="15"/>
      <c r="B110" s="15"/>
      <c r="C110" s="15"/>
      <c r="D110" s="15"/>
      <c r="E110" s="18">
        <f>E109</f>
        <v>1</v>
      </c>
      <c r="F110" s="15"/>
      <c r="G110" s="15"/>
      <c r="H110" s="15"/>
      <c r="I110" s="168"/>
      <c r="J110" s="168"/>
      <c r="K110" s="168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spans="1:41" ht="19.5" hidden="1" customHeight="1" x14ac:dyDescent="0.25">
      <c r="A111" s="15"/>
      <c r="B111" s="15"/>
      <c r="C111" s="15"/>
      <c r="D111" s="15"/>
      <c r="E111" s="234">
        <v>0</v>
      </c>
      <c r="F111" s="29"/>
      <c r="G111" s="15"/>
      <c r="H111" s="15"/>
      <c r="I111" s="168"/>
      <c r="J111" s="168"/>
      <c r="K111" s="168"/>
      <c r="L111" s="96">
        <v>1</v>
      </c>
      <c r="M111" s="97">
        <v>2</v>
      </c>
      <c r="N111" s="97">
        <v>3</v>
      </c>
      <c r="O111" s="97">
        <v>4</v>
      </c>
      <c r="P111" s="97">
        <v>5</v>
      </c>
      <c r="Q111" s="97">
        <v>6</v>
      </c>
      <c r="R111" s="97">
        <v>7</v>
      </c>
      <c r="S111" s="97">
        <v>8</v>
      </c>
      <c r="T111" s="97">
        <v>9</v>
      </c>
      <c r="U111" s="235">
        <v>10</v>
      </c>
      <c r="V111" s="236"/>
      <c r="W111" s="236"/>
      <c r="X111" s="236"/>
      <c r="Y111" s="236"/>
      <c r="Z111" s="236"/>
      <c r="AA111" s="236"/>
      <c r="AB111" s="236"/>
      <c r="AC111" s="236"/>
      <c r="AD111" s="236"/>
      <c r="AE111" s="236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spans="1:41" ht="19.5" hidden="1" customHeight="1" x14ac:dyDescent="0.25">
      <c r="A112" s="15"/>
      <c r="B112" s="15"/>
      <c r="C112" s="15"/>
      <c r="D112" s="15"/>
      <c r="E112" s="234">
        <v>0</v>
      </c>
      <c r="F112" s="29" t="s">
        <v>190</v>
      </c>
      <c r="G112" s="15"/>
      <c r="H112" s="15"/>
      <c r="I112" s="168"/>
      <c r="J112" s="168"/>
      <c r="K112" s="168"/>
      <c r="L112" s="98">
        <f>IF(MAX(Proposta!$N$14:$N$33)&lt;Capacidade_de_Pagamento!L111,0,1)</f>
        <v>1</v>
      </c>
      <c r="M112" s="99">
        <f>IF(MAX(Proposta!$N$14:$N$33)&lt;Capacidade_de_Pagamento!M111,0,1)</f>
        <v>1</v>
      </c>
      <c r="N112" s="99">
        <f>IF(MAX(Proposta!$N$14:$N$33)&lt;Capacidade_de_Pagamento!N111,0,1)</f>
        <v>1</v>
      </c>
      <c r="O112" s="99">
        <f>IF(MAX(Proposta!$N$14:$N$33)&lt;Capacidade_de_Pagamento!O111,0,1)</f>
        <v>1</v>
      </c>
      <c r="P112" s="99">
        <f>IF(MAX(Proposta!$N$14:$N$33)&lt;Capacidade_de_Pagamento!P111,0,1)</f>
        <v>1</v>
      </c>
      <c r="Q112" s="99">
        <f>IF(MAX(Proposta!$N$14:$N$33)&lt;Capacidade_de_Pagamento!Q111,0,1)</f>
        <v>1</v>
      </c>
      <c r="R112" s="99">
        <f>IF(MAX(Proposta!$N$14:$N$33)&lt;Capacidade_de_Pagamento!R111,0,1)</f>
        <v>1</v>
      </c>
      <c r="S112" s="99">
        <f>IF(MAX(Proposta!$N$14:$N$33)&lt;Capacidade_de_Pagamento!S111,0,1)</f>
        <v>1</v>
      </c>
      <c r="T112" s="99">
        <f>IF(MAX(Proposta!$N$14:$N$33)&lt;Capacidade_de_Pagamento!T111,0,1)</f>
        <v>1</v>
      </c>
      <c r="U112" s="237">
        <f>IF(MAX(Proposta!$N$14:$N$33)&lt;Capacidade_de_Pagamento!U111,0,1)</f>
        <v>1</v>
      </c>
      <c r="V112" s="236"/>
      <c r="W112" s="236"/>
      <c r="X112" s="236"/>
      <c r="Y112" s="236"/>
      <c r="Z112" s="236"/>
      <c r="AA112" s="236"/>
      <c r="AB112" s="236"/>
      <c r="AC112" s="236"/>
      <c r="AD112" s="236"/>
      <c r="AE112" s="236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spans="1:41" ht="19.5" hidden="1" customHeight="1" x14ac:dyDescent="0.25">
      <c r="A113" s="15"/>
      <c r="B113" s="15"/>
      <c r="C113" s="15"/>
      <c r="D113" s="15"/>
      <c r="E113" s="234">
        <v>0</v>
      </c>
      <c r="F113" s="29"/>
      <c r="G113" s="15"/>
      <c r="H113" s="15"/>
      <c r="I113" s="168"/>
      <c r="J113" s="168"/>
      <c r="K113" s="168"/>
      <c r="L113" s="96">
        <v>11</v>
      </c>
      <c r="M113" s="97">
        <v>12</v>
      </c>
      <c r="N113" s="97">
        <v>13</v>
      </c>
      <c r="O113" s="97">
        <v>14</v>
      </c>
      <c r="P113" s="97">
        <v>15</v>
      </c>
      <c r="Q113" s="97">
        <v>16</v>
      </c>
      <c r="R113" s="97">
        <v>17</v>
      </c>
      <c r="S113" s="97">
        <v>18</v>
      </c>
      <c r="T113" s="97">
        <v>19</v>
      </c>
      <c r="U113" s="235">
        <v>20</v>
      </c>
      <c r="V113" s="236">
        <v>21</v>
      </c>
      <c r="W113" s="236">
        <v>22</v>
      </c>
      <c r="X113" s="236">
        <v>23</v>
      </c>
      <c r="Y113" s="236">
        <v>24</v>
      </c>
      <c r="Z113" s="236">
        <v>25</v>
      </c>
      <c r="AA113" s="236">
        <v>26</v>
      </c>
      <c r="AB113" s="236">
        <v>27</v>
      </c>
      <c r="AC113" s="236">
        <v>28</v>
      </c>
      <c r="AD113" s="236">
        <v>29</v>
      </c>
      <c r="AE113" s="236">
        <v>30</v>
      </c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spans="1:41" ht="19.5" hidden="1" customHeight="1" x14ac:dyDescent="0.25">
      <c r="A114" s="15"/>
      <c r="B114" s="15"/>
      <c r="C114" s="15"/>
      <c r="D114" s="15"/>
      <c r="E114" s="234">
        <v>0</v>
      </c>
      <c r="F114" s="29" t="s">
        <v>191</v>
      </c>
      <c r="G114" s="15"/>
      <c r="H114" s="15"/>
      <c r="I114" s="168"/>
      <c r="J114" s="168"/>
      <c r="K114" s="168"/>
      <c r="L114" s="98">
        <f>IF(MAX(Proposta!$N$14:$N$33)&lt;Capacidade_de_Pagamento!L113,0,1)</f>
        <v>1</v>
      </c>
      <c r="M114" s="99">
        <f>IF(MAX(Proposta!$N$14:$N$33)&lt;Capacidade_de_Pagamento!M113,0,1)</f>
        <v>1</v>
      </c>
      <c r="N114" s="99">
        <f>IF(MAX(Proposta!$N$14:$N$33)&lt;Capacidade_de_Pagamento!N113,0,1)</f>
        <v>1</v>
      </c>
      <c r="O114" s="99">
        <f>IF(MAX(Proposta!$N$14:$N$33)&lt;Capacidade_de_Pagamento!O113,0,1)</f>
        <v>1</v>
      </c>
      <c r="P114" s="99">
        <f>IF(MAX(Proposta!$N$14:$N$33)&lt;Capacidade_de_Pagamento!P113,0,1)</f>
        <v>1</v>
      </c>
      <c r="Q114" s="99">
        <f>IF(MAX(Proposta!$N$14:$N$33)&lt;Capacidade_de_Pagamento!Q113,0,1)</f>
        <v>1</v>
      </c>
      <c r="R114" s="99">
        <f>IF(MAX(Proposta!$N$14:$N$33)&lt;Capacidade_de_Pagamento!R113,0,1)</f>
        <v>1</v>
      </c>
      <c r="S114" s="99">
        <f>IF(MAX(Proposta!$N$14:$N$33)&lt;Capacidade_de_Pagamento!S113,0,1)</f>
        <v>1</v>
      </c>
      <c r="T114" s="99">
        <f>IF(MAX(Proposta!$N$14:$N$33)&lt;Capacidade_de_Pagamento!T113,0,1)</f>
        <v>1</v>
      </c>
      <c r="U114" s="237">
        <f>IF(MAX(Proposta!$N$14:$N$33)&lt;Capacidade_de_Pagamento!U113,0,1)</f>
        <v>1</v>
      </c>
      <c r="V114" s="236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spans="1:41" ht="8.25" hidden="1" customHeight="1" x14ac:dyDescent="0.25">
      <c r="A115" s="15"/>
      <c r="B115" s="15"/>
      <c r="C115" s="15"/>
      <c r="D115" s="15"/>
      <c r="E115" s="234">
        <v>0</v>
      </c>
      <c r="F115" s="29"/>
      <c r="G115" s="15"/>
      <c r="H115" s="15"/>
      <c r="I115" s="168"/>
      <c r="J115" s="168"/>
      <c r="K115" s="168"/>
      <c r="L115" s="243" t="str">
        <f>IF(ISERROR(HLOOKUP(0,M114:U115,2,0)),"",HLOOKUP(0,M114:U115,2,0))</f>
        <v/>
      </c>
      <c r="M115" s="244" t="s">
        <v>197</v>
      </c>
      <c r="N115" s="244" t="s">
        <v>198</v>
      </c>
      <c r="O115" s="244" t="s">
        <v>199</v>
      </c>
      <c r="P115" s="244" t="s">
        <v>200</v>
      </c>
      <c r="Q115" s="244" t="s">
        <v>201</v>
      </c>
      <c r="R115" s="244" t="s">
        <v>202</v>
      </c>
      <c r="S115" s="244" t="s">
        <v>203</v>
      </c>
      <c r="T115" s="244" t="s">
        <v>204</v>
      </c>
      <c r="U115" s="244" t="s">
        <v>205</v>
      </c>
      <c r="V115" s="236"/>
      <c r="W115" s="236"/>
      <c r="X115" s="236"/>
      <c r="Y115" s="236"/>
      <c r="Z115" s="236"/>
      <c r="AA115" s="236"/>
      <c r="AB115" s="236"/>
      <c r="AC115" s="236"/>
      <c r="AD115" s="236"/>
      <c r="AE115" s="236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spans="1:41" ht="19.5" customHeight="1" x14ac:dyDescent="0.25">
      <c r="A116" s="15"/>
      <c r="B116" s="15"/>
      <c r="C116" s="15"/>
      <c r="D116" s="15"/>
      <c r="E116" s="18">
        <v>1</v>
      </c>
      <c r="F116" s="15"/>
      <c r="G116" s="15"/>
      <c r="H116" s="15"/>
      <c r="I116" s="360" t="s">
        <v>171</v>
      </c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90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spans="1:41" ht="15.75" x14ac:dyDescent="0.25">
      <c r="A117" s="15"/>
      <c r="B117" s="15"/>
      <c r="C117" s="15"/>
      <c r="D117" s="15"/>
      <c r="E117" s="18">
        <v>1</v>
      </c>
      <c r="F117" s="15"/>
      <c r="G117" s="15"/>
      <c r="H117" s="15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spans="1:41" ht="16.5" x14ac:dyDescent="0.25">
      <c r="A118" s="15"/>
      <c r="B118" s="15"/>
      <c r="C118" s="15"/>
      <c r="D118" s="15"/>
      <c r="E118" s="18">
        <v>1</v>
      </c>
      <c r="F118" s="15"/>
      <c r="G118" s="15"/>
      <c r="H118" s="15"/>
      <c r="I118" s="355" t="s">
        <v>141</v>
      </c>
      <c r="J118" s="286"/>
      <c r="K118" s="282"/>
      <c r="L118" s="152" t="s">
        <v>142</v>
      </c>
      <c r="M118" s="152" t="s">
        <v>143</v>
      </c>
      <c r="N118" s="152" t="s">
        <v>144</v>
      </c>
      <c r="O118" s="152" t="s">
        <v>145</v>
      </c>
      <c r="P118" s="152" t="s">
        <v>146</v>
      </c>
      <c r="Q118" s="152" t="s">
        <v>147</v>
      </c>
      <c r="R118" s="152" t="s">
        <v>148</v>
      </c>
      <c r="S118" s="152" t="s">
        <v>149</v>
      </c>
      <c r="T118" s="152" t="s">
        <v>150</v>
      </c>
      <c r="U118" s="152" t="s">
        <v>151</v>
      </c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  <row r="119" spans="1:41" ht="16.5" x14ac:dyDescent="0.25">
      <c r="A119" s="15"/>
      <c r="B119" s="15"/>
      <c r="C119" s="15"/>
      <c r="D119" s="15"/>
      <c r="E119" s="18">
        <v>1</v>
      </c>
      <c r="F119" s="15"/>
      <c r="G119" s="15"/>
      <c r="H119" s="15"/>
      <c r="I119" s="354" t="s">
        <v>207</v>
      </c>
      <c r="J119" s="298"/>
      <c r="K119" s="274"/>
      <c r="L119" s="154">
        <f t="shared" ref="L119:U119" si="12">SUM(L120:L139)</f>
        <v>0</v>
      </c>
      <c r="M119" s="154">
        <f t="shared" si="12"/>
        <v>0</v>
      </c>
      <c r="N119" s="154">
        <f t="shared" si="12"/>
        <v>0</v>
      </c>
      <c r="O119" s="154">
        <f t="shared" si="12"/>
        <v>1224.24</v>
      </c>
      <c r="P119" s="154">
        <f t="shared" si="12"/>
        <v>1236.48</v>
      </c>
      <c r="Q119" s="154">
        <f t="shared" si="12"/>
        <v>1248.8499999999999</v>
      </c>
      <c r="R119" s="154">
        <f t="shared" si="12"/>
        <v>1261.33</v>
      </c>
      <c r="S119" s="154">
        <f t="shared" si="12"/>
        <v>1273.95</v>
      </c>
      <c r="T119" s="154">
        <f t="shared" si="12"/>
        <v>1286.69</v>
      </c>
      <c r="U119" s="154">
        <f t="shared" si="12"/>
        <v>1299.55</v>
      </c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</row>
    <row r="120" spans="1:41" ht="16.5" hidden="1" x14ac:dyDescent="0.25">
      <c r="A120" s="15"/>
      <c r="B120" s="15"/>
      <c r="C120" s="15"/>
      <c r="D120" s="15"/>
      <c r="E120" s="18">
        <f>IF(SUM(L120:AE120)=0,0,1)</f>
        <v>0</v>
      </c>
      <c r="F120" s="15"/>
      <c r="G120" s="15"/>
      <c r="H120" s="15"/>
      <c r="I120" s="354" t="str">
        <f>"  Prestação - Op. "&amp;Proposta!I14&amp;" - "&amp;Proposta!J14</f>
        <v xml:space="preserve">  Prestação - Op.  - SCR</v>
      </c>
      <c r="J120" s="298"/>
      <c r="K120" s="274"/>
      <c r="L120" s="154">
        <f t="shared" ref="L120:U120" si="13">IF(AND(L17="",L39=""),"",L17+L39)</f>
        <v>0</v>
      </c>
      <c r="M120" s="154">
        <f t="shared" si="13"/>
        <v>0</v>
      </c>
      <c r="N120" s="154">
        <f t="shared" si="13"/>
        <v>0</v>
      </c>
      <c r="O120" s="154">
        <f t="shared" si="13"/>
        <v>0</v>
      </c>
      <c r="P120" s="154">
        <f t="shared" si="13"/>
        <v>0</v>
      </c>
      <c r="Q120" s="154">
        <f t="shared" si="13"/>
        <v>0</v>
      </c>
      <c r="R120" s="154">
        <f t="shared" si="13"/>
        <v>0</v>
      </c>
      <c r="S120" s="154">
        <f t="shared" si="13"/>
        <v>0</v>
      </c>
      <c r="T120" s="154">
        <f t="shared" si="13"/>
        <v>0</v>
      </c>
      <c r="U120" s="154">
        <f t="shared" si="13"/>
        <v>0</v>
      </c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</row>
    <row r="121" spans="1:41" ht="16.5" hidden="1" x14ac:dyDescent="0.2">
      <c r="A121" s="15"/>
      <c r="B121" s="15"/>
      <c r="C121" s="15"/>
      <c r="D121" s="15"/>
      <c r="E121" s="46">
        <v>0</v>
      </c>
      <c r="F121" s="15"/>
      <c r="G121" s="15"/>
      <c r="H121" s="15"/>
      <c r="I121" s="354" t="str">
        <f>"  Prestação - Op. "&amp;Proposta!I15&amp;" - "&amp;Proposta!J15</f>
        <v xml:space="preserve">  Prestação - Op. 1 - </v>
      </c>
      <c r="J121" s="298"/>
      <c r="K121" s="274"/>
      <c r="L121" s="154">
        <f t="shared" ref="L121:U121" si="14">IF(AND(L18="",L40=""),"",L18+L40)</f>
        <v>0</v>
      </c>
      <c r="M121" s="154">
        <f t="shared" si="14"/>
        <v>0</v>
      </c>
      <c r="N121" s="154">
        <f t="shared" si="14"/>
        <v>0</v>
      </c>
      <c r="O121" s="154">
        <f t="shared" si="14"/>
        <v>1224.24</v>
      </c>
      <c r="P121" s="154">
        <f t="shared" si="14"/>
        <v>1236.48</v>
      </c>
      <c r="Q121" s="154">
        <f t="shared" si="14"/>
        <v>1248.8499999999999</v>
      </c>
      <c r="R121" s="154">
        <f t="shared" si="14"/>
        <v>1261.33</v>
      </c>
      <c r="S121" s="154">
        <f t="shared" si="14"/>
        <v>1273.95</v>
      </c>
      <c r="T121" s="154">
        <f t="shared" si="14"/>
        <v>1286.69</v>
      </c>
      <c r="U121" s="154">
        <f t="shared" si="14"/>
        <v>1299.55</v>
      </c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</row>
    <row r="122" spans="1:41" ht="16.5" hidden="1" x14ac:dyDescent="0.2">
      <c r="A122" s="15"/>
      <c r="B122" s="15"/>
      <c r="C122" s="15"/>
      <c r="D122" s="15"/>
      <c r="E122" s="46">
        <f t="shared" ref="E122:E139" si="15">IF(SUM(L122:AE122)=0,0,1)</f>
        <v>0</v>
      </c>
      <c r="F122" s="15"/>
      <c r="G122" s="15"/>
      <c r="H122" s="15"/>
      <c r="I122" s="354" t="str">
        <f>"  Prestação - Op. "&amp;Proposta!I16&amp;" - "&amp;Proposta!J16</f>
        <v xml:space="preserve">  Prestação - Op. 2 - </v>
      </c>
      <c r="J122" s="298"/>
      <c r="K122" s="274"/>
      <c r="L122" s="154">
        <f t="shared" ref="L122:U122" si="16">IF(AND(L19="",L41=""),"",L19+L41)</f>
        <v>0</v>
      </c>
      <c r="M122" s="154">
        <f t="shared" si="16"/>
        <v>0</v>
      </c>
      <c r="N122" s="154">
        <f t="shared" si="16"/>
        <v>0</v>
      </c>
      <c r="O122" s="154">
        <f t="shared" si="16"/>
        <v>0</v>
      </c>
      <c r="P122" s="154">
        <f t="shared" si="16"/>
        <v>0</v>
      </c>
      <c r="Q122" s="154">
        <f t="shared" si="16"/>
        <v>0</v>
      </c>
      <c r="R122" s="154">
        <f t="shared" si="16"/>
        <v>0</v>
      </c>
      <c r="S122" s="154">
        <f t="shared" si="16"/>
        <v>0</v>
      </c>
      <c r="T122" s="154">
        <f t="shared" si="16"/>
        <v>0</v>
      </c>
      <c r="U122" s="154">
        <f t="shared" si="16"/>
        <v>0</v>
      </c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</row>
    <row r="123" spans="1:41" ht="16.5" hidden="1" x14ac:dyDescent="0.2">
      <c r="A123" s="15"/>
      <c r="B123" s="15"/>
      <c r="C123" s="15"/>
      <c r="D123" s="15"/>
      <c r="E123" s="46">
        <f t="shared" si="15"/>
        <v>0</v>
      </c>
      <c r="F123" s="15"/>
      <c r="G123" s="15"/>
      <c r="H123" s="15"/>
      <c r="I123" s="354" t="str">
        <f>"  Prestação - Op. "&amp;Proposta!I17&amp;" - "&amp;Proposta!J17</f>
        <v xml:space="preserve">  Prestação - Op. 3 - </v>
      </c>
      <c r="J123" s="298"/>
      <c r="K123" s="274"/>
      <c r="L123" s="154">
        <f t="shared" ref="L123:U123" si="17">IF(AND(L20="",L42=""),"",L20+L42)</f>
        <v>0</v>
      </c>
      <c r="M123" s="154">
        <f t="shared" si="17"/>
        <v>0</v>
      </c>
      <c r="N123" s="154">
        <f t="shared" si="17"/>
        <v>0</v>
      </c>
      <c r="O123" s="154">
        <f t="shared" si="17"/>
        <v>0</v>
      </c>
      <c r="P123" s="154">
        <f t="shared" si="17"/>
        <v>0</v>
      </c>
      <c r="Q123" s="154">
        <f t="shared" si="17"/>
        <v>0</v>
      </c>
      <c r="R123" s="154">
        <f t="shared" si="17"/>
        <v>0</v>
      </c>
      <c r="S123" s="154">
        <f t="shared" si="17"/>
        <v>0</v>
      </c>
      <c r="T123" s="154">
        <f t="shared" si="17"/>
        <v>0</v>
      </c>
      <c r="U123" s="154">
        <f t="shared" si="17"/>
        <v>0</v>
      </c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</row>
    <row r="124" spans="1:41" ht="16.5" hidden="1" x14ac:dyDescent="0.2">
      <c r="A124" s="15"/>
      <c r="B124" s="15"/>
      <c r="C124" s="15"/>
      <c r="D124" s="15"/>
      <c r="E124" s="46">
        <f t="shared" si="15"/>
        <v>0</v>
      </c>
      <c r="F124" s="15"/>
      <c r="G124" s="15"/>
      <c r="H124" s="15"/>
      <c r="I124" s="354" t="str">
        <f>"  Prestação - Op. "&amp;Proposta!I18&amp;" - "&amp;Proposta!J18</f>
        <v xml:space="preserve">  Prestação - Op. 4 - </v>
      </c>
      <c r="J124" s="298"/>
      <c r="K124" s="274"/>
      <c r="L124" s="154">
        <f t="shared" ref="L124:U124" si="18">IF(AND(L21="",L43=""),"",L21+L43)</f>
        <v>0</v>
      </c>
      <c r="M124" s="154">
        <f t="shared" si="18"/>
        <v>0</v>
      </c>
      <c r="N124" s="154">
        <f t="shared" si="18"/>
        <v>0</v>
      </c>
      <c r="O124" s="154">
        <f t="shared" si="18"/>
        <v>0</v>
      </c>
      <c r="P124" s="154">
        <f t="shared" si="18"/>
        <v>0</v>
      </c>
      <c r="Q124" s="154">
        <f t="shared" si="18"/>
        <v>0</v>
      </c>
      <c r="R124" s="154">
        <f t="shared" si="18"/>
        <v>0</v>
      </c>
      <c r="S124" s="154">
        <f t="shared" si="18"/>
        <v>0</v>
      </c>
      <c r="T124" s="154">
        <f t="shared" si="18"/>
        <v>0</v>
      </c>
      <c r="U124" s="154">
        <f t="shared" si="18"/>
        <v>0</v>
      </c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</row>
    <row r="125" spans="1:41" ht="16.5" hidden="1" x14ac:dyDescent="0.2">
      <c r="A125" s="15"/>
      <c r="B125" s="15"/>
      <c r="C125" s="15"/>
      <c r="D125" s="15"/>
      <c r="E125" s="46">
        <f t="shared" si="15"/>
        <v>0</v>
      </c>
      <c r="F125" s="15"/>
      <c r="G125" s="15"/>
      <c r="H125" s="15"/>
      <c r="I125" s="354" t="str">
        <f>"  Prestação - Op. "&amp;Proposta!I19&amp;" - "&amp;Proposta!J19</f>
        <v xml:space="preserve">  Prestação - Op. 5 - ,</v>
      </c>
      <c r="J125" s="298"/>
      <c r="K125" s="274"/>
      <c r="L125" s="154">
        <f t="shared" ref="L125:U125" si="19">IF(AND(L22="",L44=""),"",L22+L44)</f>
        <v>0</v>
      </c>
      <c r="M125" s="154">
        <f t="shared" si="19"/>
        <v>0</v>
      </c>
      <c r="N125" s="154">
        <f t="shared" si="19"/>
        <v>0</v>
      </c>
      <c r="O125" s="154">
        <f t="shared" si="19"/>
        <v>0</v>
      </c>
      <c r="P125" s="154">
        <f t="shared" si="19"/>
        <v>0</v>
      </c>
      <c r="Q125" s="154">
        <f t="shared" si="19"/>
        <v>0</v>
      </c>
      <c r="R125" s="154">
        <f t="shared" si="19"/>
        <v>0</v>
      </c>
      <c r="S125" s="154">
        <f t="shared" si="19"/>
        <v>0</v>
      </c>
      <c r="T125" s="154">
        <f t="shared" si="19"/>
        <v>0</v>
      </c>
      <c r="U125" s="154">
        <f t="shared" si="19"/>
        <v>0</v>
      </c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</row>
    <row r="126" spans="1:41" ht="16.5" hidden="1" x14ac:dyDescent="0.2">
      <c r="A126" s="15"/>
      <c r="B126" s="15"/>
      <c r="C126" s="15"/>
      <c r="D126" s="15"/>
      <c r="E126" s="46">
        <f t="shared" si="15"/>
        <v>0</v>
      </c>
      <c r="F126" s="15"/>
      <c r="G126" s="15"/>
      <c r="H126" s="15"/>
      <c r="I126" s="354" t="str">
        <f>"  Prestação - Op. "&amp;Proposta!I20&amp;" - "&amp;Proposta!J20</f>
        <v xml:space="preserve">  Prestação - Op. 6 - </v>
      </c>
      <c r="J126" s="298"/>
      <c r="K126" s="274"/>
      <c r="L126" s="154">
        <f t="shared" ref="L126:U126" si="20">IF(AND(L23="",L45=""),"",L23+L45)</f>
        <v>0</v>
      </c>
      <c r="M126" s="154">
        <f t="shared" si="20"/>
        <v>0</v>
      </c>
      <c r="N126" s="154">
        <f t="shared" si="20"/>
        <v>0</v>
      </c>
      <c r="O126" s="154">
        <f t="shared" si="20"/>
        <v>0</v>
      </c>
      <c r="P126" s="154">
        <f t="shared" si="20"/>
        <v>0</v>
      </c>
      <c r="Q126" s="154">
        <f t="shared" si="20"/>
        <v>0</v>
      </c>
      <c r="R126" s="154">
        <f t="shared" si="20"/>
        <v>0</v>
      </c>
      <c r="S126" s="154">
        <f t="shared" si="20"/>
        <v>0</v>
      </c>
      <c r="T126" s="154">
        <f t="shared" si="20"/>
        <v>0</v>
      </c>
      <c r="U126" s="154">
        <f t="shared" si="20"/>
        <v>0</v>
      </c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</row>
    <row r="127" spans="1:41" ht="16.5" hidden="1" x14ac:dyDescent="0.2">
      <c r="A127" s="15"/>
      <c r="B127" s="15"/>
      <c r="C127" s="15"/>
      <c r="D127" s="15"/>
      <c r="E127" s="46">
        <f t="shared" si="15"/>
        <v>0</v>
      </c>
      <c r="F127" s="15"/>
      <c r="G127" s="15"/>
      <c r="H127" s="15"/>
      <c r="I127" s="354" t="str">
        <f>"  Prestação - Op. "&amp;Proposta!I21&amp;" - "&amp;Proposta!J21</f>
        <v xml:space="preserve">  Prestação - Op. 7 - </v>
      </c>
      <c r="J127" s="298"/>
      <c r="K127" s="274"/>
      <c r="L127" s="154">
        <f t="shared" ref="L127:U127" si="21">IF(AND(L24="",L46=""),"",L24+L46)</f>
        <v>0</v>
      </c>
      <c r="M127" s="154">
        <f t="shared" si="21"/>
        <v>0</v>
      </c>
      <c r="N127" s="154">
        <f t="shared" si="21"/>
        <v>0</v>
      </c>
      <c r="O127" s="154">
        <f t="shared" si="21"/>
        <v>0</v>
      </c>
      <c r="P127" s="154">
        <f t="shared" si="21"/>
        <v>0</v>
      </c>
      <c r="Q127" s="154">
        <f t="shared" si="21"/>
        <v>0</v>
      </c>
      <c r="R127" s="154">
        <f t="shared" si="21"/>
        <v>0</v>
      </c>
      <c r="S127" s="154">
        <f t="shared" si="21"/>
        <v>0</v>
      </c>
      <c r="T127" s="154">
        <f t="shared" si="21"/>
        <v>0</v>
      </c>
      <c r="U127" s="154">
        <f t="shared" si="21"/>
        <v>0</v>
      </c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</row>
    <row r="128" spans="1:41" ht="16.5" hidden="1" x14ac:dyDescent="0.2">
      <c r="A128" s="15"/>
      <c r="B128" s="15"/>
      <c r="C128" s="15"/>
      <c r="D128" s="15"/>
      <c r="E128" s="46">
        <f t="shared" si="15"/>
        <v>0</v>
      </c>
      <c r="F128" s="15"/>
      <c r="G128" s="15"/>
      <c r="H128" s="15"/>
      <c r="I128" s="354" t="str">
        <f>"  Prestação - Op. "&amp;Proposta!I22&amp;" - "&amp;Proposta!J22</f>
        <v xml:space="preserve">  Prestação - Op. 8 - </v>
      </c>
      <c r="J128" s="298"/>
      <c r="K128" s="274"/>
      <c r="L128" s="154">
        <f t="shared" ref="L128:U128" si="22">IF(AND(L25="",L47=""),"",L25+L47)</f>
        <v>0</v>
      </c>
      <c r="M128" s="154">
        <f t="shared" si="22"/>
        <v>0</v>
      </c>
      <c r="N128" s="154">
        <f t="shared" si="22"/>
        <v>0</v>
      </c>
      <c r="O128" s="154">
        <f t="shared" si="22"/>
        <v>0</v>
      </c>
      <c r="P128" s="154">
        <f t="shared" si="22"/>
        <v>0</v>
      </c>
      <c r="Q128" s="154">
        <f t="shared" si="22"/>
        <v>0</v>
      </c>
      <c r="R128" s="154">
        <f t="shared" si="22"/>
        <v>0</v>
      </c>
      <c r="S128" s="154">
        <f t="shared" si="22"/>
        <v>0</v>
      </c>
      <c r="T128" s="154">
        <f t="shared" si="22"/>
        <v>0</v>
      </c>
      <c r="U128" s="154">
        <f t="shared" si="22"/>
        <v>0</v>
      </c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</row>
    <row r="129" spans="1:41" ht="16.5" hidden="1" x14ac:dyDescent="0.2">
      <c r="A129" s="15"/>
      <c r="B129" s="15"/>
      <c r="C129" s="15"/>
      <c r="D129" s="15"/>
      <c r="E129" s="46">
        <f t="shared" si="15"/>
        <v>0</v>
      </c>
      <c r="F129" s="15"/>
      <c r="G129" s="15"/>
      <c r="H129" s="15"/>
      <c r="I129" s="354" t="str">
        <f>"  Prestação - Op. "&amp;Proposta!I23&amp;" - "&amp;Proposta!J23</f>
        <v xml:space="preserve">  Prestação - Op. 9 - </v>
      </c>
      <c r="J129" s="298"/>
      <c r="K129" s="274"/>
      <c r="L129" s="154">
        <f t="shared" ref="L129:U129" si="23">IF(AND(L26="",L48=""),"",L26+L48)</f>
        <v>0</v>
      </c>
      <c r="M129" s="154">
        <f t="shared" si="23"/>
        <v>0</v>
      </c>
      <c r="N129" s="154">
        <f t="shared" si="23"/>
        <v>0</v>
      </c>
      <c r="O129" s="154">
        <f t="shared" si="23"/>
        <v>0</v>
      </c>
      <c r="P129" s="154">
        <f t="shared" si="23"/>
        <v>0</v>
      </c>
      <c r="Q129" s="154">
        <f t="shared" si="23"/>
        <v>0</v>
      </c>
      <c r="R129" s="154">
        <f t="shared" si="23"/>
        <v>0</v>
      </c>
      <c r="S129" s="154">
        <f t="shared" si="23"/>
        <v>0</v>
      </c>
      <c r="T129" s="154">
        <f t="shared" si="23"/>
        <v>0</v>
      </c>
      <c r="U129" s="154">
        <f t="shared" si="23"/>
        <v>0</v>
      </c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</row>
    <row r="130" spans="1:41" ht="16.5" hidden="1" x14ac:dyDescent="0.2">
      <c r="A130" s="15"/>
      <c r="B130" s="15"/>
      <c r="C130" s="15"/>
      <c r="D130" s="15"/>
      <c r="E130" s="46">
        <f t="shared" si="15"/>
        <v>0</v>
      </c>
      <c r="F130" s="15"/>
      <c r="G130" s="15"/>
      <c r="H130" s="15"/>
      <c r="I130" s="354" t="str">
        <f>"  Prestação - Op. "&amp;Proposta!I24&amp;" - "&amp;Proposta!J24</f>
        <v xml:space="preserve">  Prestação - Op. 10 - </v>
      </c>
      <c r="J130" s="298"/>
      <c r="K130" s="274"/>
      <c r="L130" s="154">
        <f t="shared" ref="L130:U130" si="24">IF(AND(L27="",L49=""),"",L27+L49)</f>
        <v>0</v>
      </c>
      <c r="M130" s="154">
        <f t="shared" si="24"/>
        <v>0</v>
      </c>
      <c r="N130" s="154">
        <f t="shared" si="24"/>
        <v>0</v>
      </c>
      <c r="O130" s="154">
        <f t="shared" si="24"/>
        <v>0</v>
      </c>
      <c r="P130" s="154">
        <f t="shared" si="24"/>
        <v>0</v>
      </c>
      <c r="Q130" s="154">
        <f t="shared" si="24"/>
        <v>0</v>
      </c>
      <c r="R130" s="154">
        <f t="shared" si="24"/>
        <v>0</v>
      </c>
      <c r="S130" s="154">
        <f t="shared" si="24"/>
        <v>0</v>
      </c>
      <c r="T130" s="154">
        <f t="shared" si="24"/>
        <v>0</v>
      </c>
      <c r="U130" s="154">
        <f t="shared" si="24"/>
        <v>0</v>
      </c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</row>
    <row r="131" spans="1:41" ht="16.5" hidden="1" x14ac:dyDescent="0.2">
      <c r="A131" s="15"/>
      <c r="B131" s="15"/>
      <c r="C131" s="15"/>
      <c r="D131" s="15"/>
      <c r="E131" s="46">
        <f t="shared" si="15"/>
        <v>0</v>
      </c>
      <c r="F131" s="15"/>
      <c r="G131" s="15"/>
      <c r="H131" s="15"/>
      <c r="I131" s="354" t="str">
        <f>"  Prestação - Op. "&amp;Proposta!I25&amp;" - "&amp;Proposta!J25</f>
        <v xml:space="preserve">  Prestação - Op. 11 - </v>
      </c>
      <c r="J131" s="298"/>
      <c r="K131" s="274"/>
      <c r="L131" s="154">
        <f t="shared" ref="L131:U131" si="25">IF(AND(L28="",L50=""),"",L28+L50)</f>
        <v>0</v>
      </c>
      <c r="M131" s="154">
        <f t="shared" si="25"/>
        <v>0</v>
      </c>
      <c r="N131" s="154">
        <f t="shared" si="25"/>
        <v>0</v>
      </c>
      <c r="O131" s="154">
        <f t="shared" si="25"/>
        <v>0</v>
      </c>
      <c r="P131" s="154">
        <f t="shared" si="25"/>
        <v>0</v>
      </c>
      <c r="Q131" s="154">
        <f t="shared" si="25"/>
        <v>0</v>
      </c>
      <c r="R131" s="154">
        <f t="shared" si="25"/>
        <v>0</v>
      </c>
      <c r="S131" s="154">
        <f t="shared" si="25"/>
        <v>0</v>
      </c>
      <c r="T131" s="154">
        <f t="shared" si="25"/>
        <v>0</v>
      </c>
      <c r="U131" s="154">
        <f t="shared" si="25"/>
        <v>0</v>
      </c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</row>
    <row r="132" spans="1:41" ht="16.5" hidden="1" x14ac:dyDescent="0.2">
      <c r="A132" s="15"/>
      <c r="B132" s="15"/>
      <c r="C132" s="15"/>
      <c r="D132" s="15"/>
      <c r="E132" s="46">
        <f t="shared" si="15"/>
        <v>0</v>
      </c>
      <c r="F132" s="15"/>
      <c r="G132" s="15"/>
      <c r="H132" s="15"/>
      <c r="I132" s="354" t="str">
        <f>"  Prestação - Op. "&amp;Proposta!I26&amp;" - "&amp;Proposta!J26</f>
        <v xml:space="preserve">  Prestação - Op. 12 - </v>
      </c>
      <c r="J132" s="298"/>
      <c r="K132" s="274"/>
      <c r="L132" s="154">
        <f t="shared" ref="L132:U132" si="26">IF(AND(L29="",L51=""),"",L29+L51)</f>
        <v>0</v>
      </c>
      <c r="M132" s="154">
        <f t="shared" si="26"/>
        <v>0</v>
      </c>
      <c r="N132" s="154">
        <f t="shared" si="26"/>
        <v>0</v>
      </c>
      <c r="O132" s="154">
        <f t="shared" si="26"/>
        <v>0</v>
      </c>
      <c r="P132" s="154">
        <f t="shared" si="26"/>
        <v>0</v>
      </c>
      <c r="Q132" s="154">
        <f t="shared" si="26"/>
        <v>0</v>
      </c>
      <c r="R132" s="154">
        <f t="shared" si="26"/>
        <v>0</v>
      </c>
      <c r="S132" s="154">
        <f t="shared" si="26"/>
        <v>0</v>
      </c>
      <c r="T132" s="154">
        <f t="shared" si="26"/>
        <v>0</v>
      </c>
      <c r="U132" s="154">
        <f t="shared" si="26"/>
        <v>0</v>
      </c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</row>
    <row r="133" spans="1:41" ht="16.5" hidden="1" x14ac:dyDescent="0.2">
      <c r="A133" s="15"/>
      <c r="B133" s="15"/>
      <c r="C133" s="15"/>
      <c r="D133" s="15"/>
      <c r="E133" s="46">
        <f t="shared" si="15"/>
        <v>0</v>
      </c>
      <c r="F133" s="15"/>
      <c r="G133" s="15"/>
      <c r="H133" s="15"/>
      <c r="I133" s="354" t="str">
        <f>"  Prestação - Op. "&amp;Proposta!I27&amp;" - "&amp;Proposta!J27</f>
        <v xml:space="preserve">  Prestação - Op. 13 - </v>
      </c>
      <c r="J133" s="298"/>
      <c r="K133" s="274"/>
      <c r="L133" s="154">
        <f t="shared" ref="L133:U133" si="27">IF(AND(L30="",L52=""),"",L30+L52)</f>
        <v>0</v>
      </c>
      <c r="M133" s="154">
        <f t="shared" si="27"/>
        <v>0</v>
      </c>
      <c r="N133" s="154">
        <f t="shared" si="27"/>
        <v>0</v>
      </c>
      <c r="O133" s="154">
        <f t="shared" si="27"/>
        <v>0</v>
      </c>
      <c r="P133" s="154">
        <f t="shared" si="27"/>
        <v>0</v>
      </c>
      <c r="Q133" s="154">
        <f t="shared" si="27"/>
        <v>0</v>
      </c>
      <c r="R133" s="154">
        <f t="shared" si="27"/>
        <v>0</v>
      </c>
      <c r="S133" s="154">
        <f t="shared" si="27"/>
        <v>0</v>
      </c>
      <c r="T133" s="154">
        <f t="shared" si="27"/>
        <v>0</v>
      </c>
      <c r="U133" s="154">
        <f t="shared" si="27"/>
        <v>0</v>
      </c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</row>
    <row r="134" spans="1:41" ht="16.5" hidden="1" x14ac:dyDescent="0.2">
      <c r="A134" s="15"/>
      <c r="B134" s="15"/>
      <c r="C134" s="15"/>
      <c r="D134" s="15"/>
      <c r="E134" s="46">
        <f t="shared" si="15"/>
        <v>0</v>
      </c>
      <c r="F134" s="15"/>
      <c r="G134" s="15"/>
      <c r="H134" s="15"/>
      <c r="I134" s="354" t="str">
        <f>"  Prestação - Op. "&amp;Proposta!I28&amp;" - "&amp;Proposta!J28</f>
        <v xml:space="preserve">  Prestação - Op. 14 - </v>
      </c>
      <c r="J134" s="298"/>
      <c r="K134" s="274"/>
      <c r="L134" s="154">
        <f t="shared" ref="L134:U134" si="28">IF(AND(L31="",L53=""),"",L31+L53)</f>
        <v>0</v>
      </c>
      <c r="M134" s="154">
        <f t="shared" si="28"/>
        <v>0</v>
      </c>
      <c r="N134" s="154">
        <f t="shared" si="28"/>
        <v>0</v>
      </c>
      <c r="O134" s="154">
        <f t="shared" si="28"/>
        <v>0</v>
      </c>
      <c r="P134" s="154">
        <f t="shared" si="28"/>
        <v>0</v>
      </c>
      <c r="Q134" s="154">
        <f t="shared" si="28"/>
        <v>0</v>
      </c>
      <c r="R134" s="154">
        <f t="shared" si="28"/>
        <v>0</v>
      </c>
      <c r="S134" s="154">
        <f t="shared" si="28"/>
        <v>0</v>
      </c>
      <c r="T134" s="154">
        <f t="shared" si="28"/>
        <v>0</v>
      </c>
      <c r="U134" s="154">
        <f t="shared" si="28"/>
        <v>0</v>
      </c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</row>
    <row r="135" spans="1:41" ht="16.5" hidden="1" x14ac:dyDescent="0.2">
      <c r="A135" s="15"/>
      <c r="B135" s="15"/>
      <c r="C135" s="15"/>
      <c r="D135" s="15"/>
      <c r="E135" s="46">
        <f t="shared" si="15"/>
        <v>0</v>
      </c>
      <c r="F135" s="15"/>
      <c r="G135" s="15"/>
      <c r="H135" s="15"/>
      <c r="I135" s="354" t="str">
        <f>"  Prestação - Op. "&amp;Proposta!I29&amp;" - "&amp;Proposta!J29</f>
        <v xml:space="preserve">  Prestação - Op. 15 - </v>
      </c>
      <c r="J135" s="298"/>
      <c r="K135" s="274"/>
      <c r="L135" s="154">
        <f t="shared" ref="L135:U135" si="29">IF(AND(L32="",L54=""),"",L32+L54)</f>
        <v>0</v>
      </c>
      <c r="M135" s="154">
        <f t="shared" si="29"/>
        <v>0</v>
      </c>
      <c r="N135" s="154">
        <f t="shared" si="29"/>
        <v>0</v>
      </c>
      <c r="O135" s="154">
        <f t="shared" si="29"/>
        <v>0</v>
      </c>
      <c r="P135" s="154">
        <f t="shared" si="29"/>
        <v>0</v>
      </c>
      <c r="Q135" s="154">
        <f t="shared" si="29"/>
        <v>0</v>
      </c>
      <c r="R135" s="154">
        <f t="shared" si="29"/>
        <v>0</v>
      </c>
      <c r="S135" s="154">
        <f t="shared" si="29"/>
        <v>0</v>
      </c>
      <c r="T135" s="154">
        <f t="shared" si="29"/>
        <v>0</v>
      </c>
      <c r="U135" s="154">
        <f t="shared" si="29"/>
        <v>0</v>
      </c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</row>
    <row r="136" spans="1:41" ht="16.5" hidden="1" x14ac:dyDescent="0.2">
      <c r="A136" s="15"/>
      <c r="B136" s="15"/>
      <c r="C136" s="15"/>
      <c r="D136" s="15"/>
      <c r="E136" s="46">
        <f t="shared" si="15"/>
        <v>0</v>
      </c>
      <c r="F136" s="15"/>
      <c r="G136" s="15"/>
      <c r="H136" s="15"/>
      <c r="I136" s="354" t="str">
        <f>"  Prestação - Op. "&amp;Proposta!I30&amp;" - "&amp;Proposta!J30</f>
        <v xml:space="preserve">  Prestação - Op. 16 - </v>
      </c>
      <c r="J136" s="298"/>
      <c r="K136" s="274"/>
      <c r="L136" s="154">
        <f t="shared" ref="L136:U136" si="30">IF(AND(L33="",L55=""),"",L33+L55)</f>
        <v>0</v>
      </c>
      <c r="M136" s="154">
        <f t="shared" si="30"/>
        <v>0</v>
      </c>
      <c r="N136" s="154">
        <f t="shared" si="30"/>
        <v>0</v>
      </c>
      <c r="O136" s="154">
        <f t="shared" si="30"/>
        <v>0</v>
      </c>
      <c r="P136" s="154">
        <f t="shared" si="30"/>
        <v>0</v>
      </c>
      <c r="Q136" s="154">
        <f t="shared" si="30"/>
        <v>0</v>
      </c>
      <c r="R136" s="154">
        <f t="shared" si="30"/>
        <v>0</v>
      </c>
      <c r="S136" s="154">
        <f t="shared" si="30"/>
        <v>0</v>
      </c>
      <c r="T136" s="154">
        <f t="shared" si="30"/>
        <v>0</v>
      </c>
      <c r="U136" s="154">
        <f t="shared" si="30"/>
        <v>0</v>
      </c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</row>
    <row r="137" spans="1:41" ht="16.5" hidden="1" x14ac:dyDescent="0.2">
      <c r="A137" s="15"/>
      <c r="B137" s="15"/>
      <c r="C137" s="15"/>
      <c r="D137" s="15"/>
      <c r="E137" s="46">
        <f t="shared" si="15"/>
        <v>0</v>
      </c>
      <c r="F137" s="15"/>
      <c r="G137" s="15"/>
      <c r="H137" s="15"/>
      <c r="I137" s="354" t="str">
        <f>"  Prestação - Op. "&amp;Proposta!I31&amp;" - "&amp;Proposta!J31</f>
        <v xml:space="preserve">  Prestação - Op. 17 - </v>
      </c>
      <c r="J137" s="298"/>
      <c r="K137" s="274"/>
      <c r="L137" s="154">
        <f t="shared" ref="L137:U137" si="31">IF(AND(L34="",L56=""),"",L34+L56)</f>
        <v>0</v>
      </c>
      <c r="M137" s="154">
        <f t="shared" si="31"/>
        <v>0</v>
      </c>
      <c r="N137" s="154">
        <f t="shared" si="31"/>
        <v>0</v>
      </c>
      <c r="O137" s="154">
        <f t="shared" si="31"/>
        <v>0</v>
      </c>
      <c r="P137" s="154">
        <f t="shared" si="31"/>
        <v>0</v>
      </c>
      <c r="Q137" s="154">
        <f t="shared" si="31"/>
        <v>0</v>
      </c>
      <c r="R137" s="154">
        <f t="shared" si="31"/>
        <v>0</v>
      </c>
      <c r="S137" s="154">
        <f t="shared" si="31"/>
        <v>0</v>
      </c>
      <c r="T137" s="154">
        <f t="shared" si="31"/>
        <v>0</v>
      </c>
      <c r="U137" s="154">
        <f t="shared" si="31"/>
        <v>0</v>
      </c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</row>
    <row r="138" spans="1:41" ht="16.5" hidden="1" x14ac:dyDescent="0.2">
      <c r="A138" s="15"/>
      <c r="B138" s="15"/>
      <c r="C138" s="15"/>
      <c r="D138" s="15"/>
      <c r="E138" s="46">
        <f t="shared" si="15"/>
        <v>0</v>
      </c>
      <c r="F138" s="15"/>
      <c r="G138" s="15"/>
      <c r="H138" s="15"/>
      <c r="I138" s="354" t="str">
        <f>"  Prestação - Op. "&amp;Proposta!I32&amp;" - "&amp;Proposta!J32</f>
        <v xml:space="preserve">  Prestação - Op. 18 - </v>
      </c>
      <c r="J138" s="298"/>
      <c r="K138" s="274"/>
      <c r="L138" s="154">
        <f t="shared" ref="L138:U138" si="32">IF(AND(L35="",L57=""),"",L35+L57)</f>
        <v>0</v>
      </c>
      <c r="M138" s="154">
        <f t="shared" si="32"/>
        <v>0</v>
      </c>
      <c r="N138" s="154">
        <f t="shared" si="32"/>
        <v>0</v>
      </c>
      <c r="O138" s="154">
        <f t="shared" si="32"/>
        <v>0</v>
      </c>
      <c r="P138" s="154">
        <f t="shared" si="32"/>
        <v>0</v>
      </c>
      <c r="Q138" s="154">
        <f t="shared" si="32"/>
        <v>0</v>
      </c>
      <c r="R138" s="154">
        <f t="shared" si="32"/>
        <v>0</v>
      </c>
      <c r="S138" s="154">
        <f t="shared" si="32"/>
        <v>0</v>
      </c>
      <c r="T138" s="154">
        <f t="shared" si="32"/>
        <v>0</v>
      </c>
      <c r="U138" s="154">
        <f t="shared" si="32"/>
        <v>0</v>
      </c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</row>
    <row r="139" spans="1:41" ht="16.5" hidden="1" x14ac:dyDescent="0.2">
      <c r="A139" s="15"/>
      <c r="B139" s="15"/>
      <c r="C139" s="15"/>
      <c r="D139" s="15"/>
      <c r="E139" s="46">
        <f t="shared" si="15"/>
        <v>0</v>
      </c>
      <c r="F139" s="15"/>
      <c r="G139" s="15"/>
      <c r="H139" s="15"/>
      <c r="I139" s="354" t="str">
        <f>"  Prestação - Op. "&amp;Proposta!I33&amp;" - "&amp;Proposta!J33</f>
        <v xml:space="preserve">  Prestação - Op. 19 - </v>
      </c>
      <c r="J139" s="298"/>
      <c r="K139" s="274"/>
      <c r="L139" s="154">
        <f t="shared" ref="L139:U139" si="33">IF(AND(L36="",L58=""),"",L36+L58)</f>
        <v>0</v>
      </c>
      <c r="M139" s="154">
        <f t="shared" si="33"/>
        <v>0</v>
      </c>
      <c r="N139" s="154">
        <f t="shared" si="33"/>
        <v>0</v>
      </c>
      <c r="O139" s="154">
        <f t="shared" si="33"/>
        <v>0</v>
      </c>
      <c r="P139" s="154">
        <f t="shared" si="33"/>
        <v>0</v>
      </c>
      <c r="Q139" s="154">
        <f t="shared" si="33"/>
        <v>0</v>
      </c>
      <c r="R139" s="154">
        <f t="shared" si="33"/>
        <v>0</v>
      </c>
      <c r="S139" s="154">
        <f t="shared" si="33"/>
        <v>0</v>
      </c>
      <c r="T139" s="154">
        <f t="shared" si="33"/>
        <v>0</v>
      </c>
      <c r="U139" s="154">
        <f t="shared" si="33"/>
        <v>0</v>
      </c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</row>
    <row r="140" spans="1:41" ht="16.5" x14ac:dyDescent="0.25">
      <c r="A140" s="15"/>
      <c r="B140" s="15"/>
      <c r="C140" s="15"/>
      <c r="D140" s="15"/>
      <c r="E140" s="18">
        <f t="shared" ref="E140:E142" si="34">IF($F$61&gt;10,1,0)</f>
        <v>1</v>
      </c>
      <c r="F140" s="15"/>
      <c r="G140" s="15"/>
      <c r="H140" s="15"/>
      <c r="I140" s="354"/>
      <c r="J140" s="298"/>
      <c r="K140" s="27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</row>
    <row r="141" spans="1:41" ht="16.5" x14ac:dyDescent="0.25">
      <c r="A141" s="15"/>
      <c r="B141" s="15"/>
      <c r="C141" s="15"/>
      <c r="D141" s="15"/>
      <c r="E141" s="18">
        <f t="shared" si="34"/>
        <v>1</v>
      </c>
      <c r="F141" s="15"/>
      <c r="G141" s="15"/>
      <c r="H141" s="15"/>
      <c r="I141" s="355" t="s">
        <v>141</v>
      </c>
      <c r="J141" s="286"/>
      <c r="K141" s="287"/>
      <c r="L141" s="152" t="str">
        <f t="shared" ref="L141:U141" si="35">L61</f>
        <v>Ano 11</v>
      </c>
      <c r="M141" s="152" t="str">
        <f t="shared" si="35"/>
        <v>Ano 12</v>
      </c>
      <c r="N141" s="152" t="str">
        <f t="shared" si="35"/>
        <v>Ano 13</v>
      </c>
      <c r="O141" s="152" t="str">
        <f t="shared" si="35"/>
        <v>Ano 14</v>
      </c>
      <c r="P141" s="152" t="str">
        <f t="shared" si="35"/>
        <v>Ano 15</v>
      </c>
      <c r="Q141" s="152" t="str">
        <f t="shared" si="35"/>
        <v>Ano 16</v>
      </c>
      <c r="R141" s="152" t="str">
        <f t="shared" si="35"/>
        <v>Ano 17</v>
      </c>
      <c r="S141" s="152" t="str">
        <f t="shared" si="35"/>
        <v>Ano 18</v>
      </c>
      <c r="T141" s="152" t="str">
        <f t="shared" si="35"/>
        <v>Ano 19</v>
      </c>
      <c r="U141" s="152" t="str">
        <f t="shared" si="35"/>
        <v>Ano 20</v>
      </c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264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spans="1:41" ht="16.5" x14ac:dyDescent="0.25">
      <c r="A142" s="15"/>
      <c r="B142" s="15"/>
      <c r="C142" s="15"/>
      <c r="D142" s="15"/>
      <c r="E142" s="18">
        <f t="shared" si="34"/>
        <v>1</v>
      </c>
      <c r="F142" s="15"/>
      <c r="G142" s="15"/>
      <c r="H142" s="15"/>
      <c r="I142" s="354" t="s">
        <v>207</v>
      </c>
      <c r="J142" s="298"/>
      <c r="K142" s="274"/>
      <c r="L142" s="154">
        <f>IF(MAX(Proposta!$N$14:$N$33)&lt;L113,"",SUM(L143:L162))</f>
        <v>1312.55</v>
      </c>
      <c r="M142" s="154">
        <f>IF(MAX(Proposta!$N$14:$N$33)&lt;M113,"",SUM(M143:M162))</f>
        <v>1325.68</v>
      </c>
      <c r="N142" s="154">
        <f>IF(MAX(Proposta!$N$14:$N$33)&lt;N113,"",SUM(N143:N162))</f>
        <v>1338.93</v>
      </c>
      <c r="O142" s="154">
        <f>IF(MAX(Proposta!$N$14:$N$33)&lt;O113,"",SUM(O143:O162))</f>
        <v>1352.32</v>
      </c>
      <c r="P142" s="154">
        <f>IF(MAX(Proposta!$N$14:$N$33)&lt;P113,"",SUM(P143:P162))</f>
        <v>1365.85</v>
      </c>
      <c r="Q142" s="154">
        <f>IF(MAX(Proposta!$N$14:$N$33)&lt;Q113,"",SUM(Q143:Q162))</f>
        <v>1379.5</v>
      </c>
      <c r="R142" s="154">
        <f>IF(MAX(Proposta!$N$14:$N$33)&lt;R113,"",SUM(R143:R162))</f>
        <v>1393.3</v>
      </c>
      <c r="S142" s="154">
        <f>IF(MAX(Proposta!$N$14:$N$33)&lt;S113,"",SUM(S143:S162))</f>
        <v>1407.23</v>
      </c>
      <c r="T142" s="154">
        <f>IF(MAX(Proposta!$N$14:$N$33)&lt;T113,"",SUM(T143:T162))</f>
        <v>1421.3</v>
      </c>
      <c r="U142" s="154">
        <f>IF(MAX(Proposta!$N$14:$N$33)&lt;U113,"",SUM(U143:U145))</f>
        <v>1435.53</v>
      </c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</row>
    <row r="143" spans="1:41" hidden="1" x14ac:dyDescent="0.2">
      <c r="A143" s="15"/>
      <c r="B143" s="15"/>
      <c r="C143" s="15"/>
      <c r="D143" s="15"/>
      <c r="E143" s="46">
        <f>IF(OR($F$61&lt;11,SUM(L143:U143)=0),0,1)</f>
        <v>0</v>
      </c>
      <c r="F143" s="15"/>
      <c r="G143" s="15"/>
      <c r="H143" s="15"/>
      <c r="I143" s="356" t="str">
        <f t="shared" ref="I143:I162" si="36">I120</f>
        <v xml:space="preserve">  Prestação - Op.  - SCR</v>
      </c>
      <c r="J143" s="298"/>
      <c r="K143" s="274"/>
      <c r="L143" s="155">
        <f t="shared" ref="L143:U143" si="37">IF(AND(L67="",L89=""),"",L67+L89)</f>
        <v>0</v>
      </c>
      <c r="M143" s="155">
        <f t="shared" si="37"/>
        <v>0</v>
      </c>
      <c r="N143" s="155">
        <f t="shared" si="37"/>
        <v>0</v>
      </c>
      <c r="O143" s="155">
        <f t="shared" si="37"/>
        <v>0</v>
      </c>
      <c r="P143" s="155">
        <f t="shared" si="37"/>
        <v>0</v>
      </c>
      <c r="Q143" s="155">
        <f t="shared" si="37"/>
        <v>0</v>
      </c>
      <c r="R143" s="155">
        <f t="shared" si="37"/>
        <v>0</v>
      </c>
      <c r="S143" s="155">
        <f t="shared" si="37"/>
        <v>0</v>
      </c>
      <c r="T143" s="155">
        <f t="shared" si="37"/>
        <v>0</v>
      </c>
      <c r="U143" s="155">
        <f t="shared" si="37"/>
        <v>0</v>
      </c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</row>
    <row r="144" spans="1:41" hidden="1" x14ac:dyDescent="0.2">
      <c r="A144" s="15"/>
      <c r="B144" s="15"/>
      <c r="C144" s="15"/>
      <c r="D144" s="15"/>
      <c r="E144" s="46">
        <v>0</v>
      </c>
      <c r="F144" s="15"/>
      <c r="G144" s="15"/>
      <c r="H144" s="15"/>
      <c r="I144" s="356" t="str">
        <f t="shared" si="36"/>
        <v xml:space="preserve">  Prestação - Op. 1 - </v>
      </c>
      <c r="J144" s="298"/>
      <c r="K144" s="274"/>
      <c r="L144" s="155">
        <f t="shared" ref="L144:U144" si="38">IF(AND(L68="",L90=""),"",L68+L90)</f>
        <v>1312.55</v>
      </c>
      <c r="M144" s="155">
        <f t="shared" si="38"/>
        <v>1325.68</v>
      </c>
      <c r="N144" s="155">
        <f t="shared" si="38"/>
        <v>1338.93</v>
      </c>
      <c r="O144" s="155">
        <f t="shared" si="38"/>
        <v>1352.32</v>
      </c>
      <c r="P144" s="155">
        <f t="shared" si="38"/>
        <v>1365.85</v>
      </c>
      <c r="Q144" s="155">
        <f t="shared" si="38"/>
        <v>1379.5</v>
      </c>
      <c r="R144" s="155">
        <f t="shared" si="38"/>
        <v>1393.3</v>
      </c>
      <c r="S144" s="155">
        <f t="shared" si="38"/>
        <v>1407.23</v>
      </c>
      <c r="T144" s="155">
        <f t="shared" si="38"/>
        <v>1421.3</v>
      </c>
      <c r="U144" s="155">
        <f t="shared" si="38"/>
        <v>1435.53</v>
      </c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</row>
    <row r="145" spans="1:41" ht="19.5" hidden="1" customHeight="1" x14ac:dyDescent="0.2">
      <c r="A145" s="15"/>
      <c r="B145" s="15"/>
      <c r="C145" s="15"/>
      <c r="D145" s="15"/>
      <c r="E145" s="46">
        <f t="shared" ref="E145:E162" si="39">IF(OR($F$61&lt;11,SUM(L145:U145)=0),0,1)</f>
        <v>0</v>
      </c>
      <c r="F145" s="15"/>
      <c r="G145" s="15"/>
      <c r="H145" s="15"/>
      <c r="I145" s="356" t="str">
        <f t="shared" si="36"/>
        <v xml:space="preserve">  Prestação - Op. 2 - </v>
      </c>
      <c r="J145" s="298"/>
      <c r="K145" s="274"/>
      <c r="L145" s="155">
        <f t="shared" ref="L145:U145" si="40">IF(AND(L69="",L91=""),"",L69+L91)</f>
        <v>0</v>
      </c>
      <c r="M145" s="155">
        <f t="shared" si="40"/>
        <v>0</v>
      </c>
      <c r="N145" s="155">
        <f t="shared" si="40"/>
        <v>0</v>
      </c>
      <c r="O145" s="155">
        <f t="shared" si="40"/>
        <v>0</v>
      </c>
      <c r="P145" s="155">
        <f t="shared" si="40"/>
        <v>0</v>
      </c>
      <c r="Q145" s="155">
        <f t="shared" si="40"/>
        <v>0</v>
      </c>
      <c r="R145" s="155">
        <f t="shared" si="40"/>
        <v>0</v>
      </c>
      <c r="S145" s="155">
        <f t="shared" si="40"/>
        <v>0</v>
      </c>
      <c r="T145" s="155">
        <f t="shared" si="40"/>
        <v>0</v>
      </c>
      <c r="U145" s="155">
        <f t="shared" si="40"/>
        <v>0</v>
      </c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</row>
    <row r="146" spans="1:41" ht="19.5" hidden="1" customHeight="1" x14ac:dyDescent="0.2">
      <c r="A146" s="15"/>
      <c r="B146" s="15"/>
      <c r="C146" s="15"/>
      <c r="D146" s="15"/>
      <c r="E146" s="46">
        <f t="shared" si="39"/>
        <v>0</v>
      </c>
      <c r="F146" s="15"/>
      <c r="G146" s="15"/>
      <c r="H146" s="15"/>
      <c r="I146" s="356" t="str">
        <f t="shared" si="36"/>
        <v xml:space="preserve">  Prestação - Op. 3 - </v>
      </c>
      <c r="J146" s="298"/>
      <c r="K146" s="274"/>
      <c r="L146" s="155">
        <f t="shared" ref="L146:U146" si="41">IF(AND(L70="",L92=""),"",L70+L92)</f>
        <v>0</v>
      </c>
      <c r="M146" s="155">
        <f t="shared" si="41"/>
        <v>0</v>
      </c>
      <c r="N146" s="155">
        <f t="shared" si="41"/>
        <v>0</v>
      </c>
      <c r="O146" s="155">
        <f t="shared" si="41"/>
        <v>0</v>
      </c>
      <c r="P146" s="155">
        <f t="shared" si="41"/>
        <v>0</v>
      </c>
      <c r="Q146" s="155">
        <f t="shared" si="41"/>
        <v>0</v>
      </c>
      <c r="R146" s="155">
        <f t="shared" si="41"/>
        <v>0</v>
      </c>
      <c r="S146" s="155">
        <f t="shared" si="41"/>
        <v>0</v>
      </c>
      <c r="T146" s="155">
        <f t="shared" si="41"/>
        <v>0</v>
      </c>
      <c r="U146" s="155">
        <f t="shared" si="41"/>
        <v>0</v>
      </c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</row>
    <row r="147" spans="1:41" ht="19.5" hidden="1" customHeight="1" x14ac:dyDescent="0.2">
      <c r="A147" s="15"/>
      <c r="B147" s="15"/>
      <c r="C147" s="15"/>
      <c r="D147" s="15"/>
      <c r="E147" s="46">
        <f t="shared" si="39"/>
        <v>0</v>
      </c>
      <c r="F147" s="15"/>
      <c r="G147" s="15"/>
      <c r="H147" s="15"/>
      <c r="I147" s="356" t="str">
        <f t="shared" si="36"/>
        <v xml:space="preserve">  Prestação - Op. 4 - </v>
      </c>
      <c r="J147" s="298"/>
      <c r="K147" s="274"/>
      <c r="L147" s="155">
        <f t="shared" ref="L147:U147" si="42">IF(AND(L71="",L93=""),"",L71+L93)</f>
        <v>0</v>
      </c>
      <c r="M147" s="155">
        <f t="shared" si="42"/>
        <v>0</v>
      </c>
      <c r="N147" s="155">
        <f t="shared" si="42"/>
        <v>0</v>
      </c>
      <c r="O147" s="155">
        <f t="shared" si="42"/>
        <v>0</v>
      </c>
      <c r="P147" s="155">
        <f t="shared" si="42"/>
        <v>0</v>
      </c>
      <c r="Q147" s="155">
        <f t="shared" si="42"/>
        <v>0</v>
      </c>
      <c r="R147" s="155">
        <f t="shared" si="42"/>
        <v>0</v>
      </c>
      <c r="S147" s="155">
        <f t="shared" si="42"/>
        <v>0</v>
      </c>
      <c r="T147" s="155">
        <f t="shared" si="42"/>
        <v>0</v>
      </c>
      <c r="U147" s="155">
        <f t="shared" si="42"/>
        <v>0</v>
      </c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</row>
    <row r="148" spans="1:41" ht="19.5" hidden="1" customHeight="1" x14ac:dyDescent="0.2">
      <c r="A148" s="15"/>
      <c r="B148" s="15"/>
      <c r="C148" s="15"/>
      <c r="D148" s="15"/>
      <c r="E148" s="46">
        <f t="shared" si="39"/>
        <v>0</v>
      </c>
      <c r="F148" s="15"/>
      <c r="G148" s="15"/>
      <c r="H148" s="15"/>
      <c r="I148" s="356" t="str">
        <f t="shared" si="36"/>
        <v xml:space="preserve">  Prestação - Op. 5 - ,</v>
      </c>
      <c r="J148" s="298"/>
      <c r="K148" s="274"/>
      <c r="L148" s="155">
        <f t="shared" ref="L148:U148" si="43">IF(AND(L72="",L94=""),"",L72+L94)</f>
        <v>0</v>
      </c>
      <c r="M148" s="155">
        <f t="shared" si="43"/>
        <v>0</v>
      </c>
      <c r="N148" s="155">
        <f t="shared" si="43"/>
        <v>0</v>
      </c>
      <c r="O148" s="155">
        <f t="shared" si="43"/>
        <v>0</v>
      </c>
      <c r="P148" s="155">
        <f t="shared" si="43"/>
        <v>0</v>
      </c>
      <c r="Q148" s="155">
        <f t="shared" si="43"/>
        <v>0</v>
      </c>
      <c r="R148" s="155">
        <f t="shared" si="43"/>
        <v>0</v>
      </c>
      <c r="S148" s="155">
        <f t="shared" si="43"/>
        <v>0</v>
      </c>
      <c r="T148" s="155">
        <f t="shared" si="43"/>
        <v>0</v>
      </c>
      <c r="U148" s="155">
        <f t="shared" si="43"/>
        <v>0</v>
      </c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</row>
    <row r="149" spans="1:41" ht="19.5" hidden="1" customHeight="1" x14ac:dyDescent="0.2">
      <c r="A149" s="15"/>
      <c r="B149" s="15"/>
      <c r="C149" s="15"/>
      <c r="D149" s="15"/>
      <c r="E149" s="46">
        <f t="shared" si="39"/>
        <v>0</v>
      </c>
      <c r="F149" s="15"/>
      <c r="G149" s="15"/>
      <c r="H149" s="15"/>
      <c r="I149" s="356" t="str">
        <f t="shared" si="36"/>
        <v xml:space="preserve">  Prestação - Op. 6 - </v>
      </c>
      <c r="J149" s="298"/>
      <c r="K149" s="274"/>
      <c r="L149" s="155">
        <f t="shared" ref="L149:U149" si="44">IF(AND(L73="",L95=""),"",L73+L95)</f>
        <v>0</v>
      </c>
      <c r="M149" s="155">
        <f t="shared" si="44"/>
        <v>0</v>
      </c>
      <c r="N149" s="155">
        <f t="shared" si="44"/>
        <v>0</v>
      </c>
      <c r="O149" s="155">
        <f t="shared" si="44"/>
        <v>0</v>
      </c>
      <c r="P149" s="155">
        <f t="shared" si="44"/>
        <v>0</v>
      </c>
      <c r="Q149" s="155">
        <f t="shared" si="44"/>
        <v>0</v>
      </c>
      <c r="R149" s="155">
        <f t="shared" si="44"/>
        <v>0</v>
      </c>
      <c r="S149" s="155">
        <f t="shared" si="44"/>
        <v>0</v>
      </c>
      <c r="T149" s="155">
        <f t="shared" si="44"/>
        <v>0</v>
      </c>
      <c r="U149" s="155">
        <f t="shared" si="44"/>
        <v>0</v>
      </c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</row>
    <row r="150" spans="1:41" ht="19.5" hidden="1" customHeight="1" x14ac:dyDescent="0.2">
      <c r="A150" s="15"/>
      <c r="B150" s="15"/>
      <c r="C150" s="15"/>
      <c r="D150" s="15"/>
      <c r="E150" s="46">
        <f t="shared" si="39"/>
        <v>0</v>
      </c>
      <c r="F150" s="15"/>
      <c r="G150" s="15"/>
      <c r="H150" s="15"/>
      <c r="I150" s="356" t="str">
        <f t="shared" si="36"/>
        <v xml:space="preserve">  Prestação - Op. 7 - </v>
      </c>
      <c r="J150" s="298"/>
      <c r="K150" s="274"/>
      <c r="L150" s="155">
        <f t="shared" ref="L150:U150" si="45">IF(AND(L74="",L96=""),"",L74+L96)</f>
        <v>0</v>
      </c>
      <c r="M150" s="155">
        <f t="shared" si="45"/>
        <v>0</v>
      </c>
      <c r="N150" s="155">
        <f t="shared" si="45"/>
        <v>0</v>
      </c>
      <c r="O150" s="155">
        <f t="shared" si="45"/>
        <v>0</v>
      </c>
      <c r="P150" s="155">
        <f t="shared" si="45"/>
        <v>0</v>
      </c>
      <c r="Q150" s="155">
        <f t="shared" si="45"/>
        <v>0</v>
      </c>
      <c r="R150" s="155">
        <f t="shared" si="45"/>
        <v>0</v>
      </c>
      <c r="S150" s="155">
        <f t="shared" si="45"/>
        <v>0</v>
      </c>
      <c r="T150" s="155">
        <f t="shared" si="45"/>
        <v>0</v>
      </c>
      <c r="U150" s="155">
        <f t="shared" si="45"/>
        <v>0</v>
      </c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spans="1:41" ht="19.5" hidden="1" customHeight="1" x14ac:dyDescent="0.2">
      <c r="A151" s="15"/>
      <c r="B151" s="15"/>
      <c r="C151" s="15"/>
      <c r="D151" s="15"/>
      <c r="E151" s="46">
        <f t="shared" si="39"/>
        <v>0</v>
      </c>
      <c r="F151" s="15"/>
      <c r="G151" s="15"/>
      <c r="H151" s="15"/>
      <c r="I151" s="356" t="str">
        <f t="shared" si="36"/>
        <v xml:space="preserve">  Prestação - Op. 8 - </v>
      </c>
      <c r="J151" s="298"/>
      <c r="K151" s="274"/>
      <c r="L151" s="155">
        <f t="shared" ref="L151:U151" si="46">IF(AND(L75="",L97=""),"",L75+L97)</f>
        <v>0</v>
      </c>
      <c r="M151" s="155">
        <f t="shared" si="46"/>
        <v>0</v>
      </c>
      <c r="N151" s="155">
        <f t="shared" si="46"/>
        <v>0</v>
      </c>
      <c r="O151" s="155">
        <f t="shared" si="46"/>
        <v>0</v>
      </c>
      <c r="P151" s="155">
        <f t="shared" si="46"/>
        <v>0</v>
      </c>
      <c r="Q151" s="155">
        <f t="shared" si="46"/>
        <v>0</v>
      </c>
      <c r="R151" s="155">
        <f t="shared" si="46"/>
        <v>0</v>
      </c>
      <c r="S151" s="155">
        <f t="shared" si="46"/>
        <v>0</v>
      </c>
      <c r="T151" s="155">
        <f t="shared" si="46"/>
        <v>0</v>
      </c>
      <c r="U151" s="155">
        <f t="shared" si="46"/>
        <v>0</v>
      </c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</row>
    <row r="152" spans="1:41" ht="19.5" hidden="1" customHeight="1" x14ac:dyDescent="0.2">
      <c r="A152" s="15"/>
      <c r="B152" s="15"/>
      <c r="C152" s="15"/>
      <c r="D152" s="15"/>
      <c r="E152" s="46">
        <f t="shared" si="39"/>
        <v>0</v>
      </c>
      <c r="F152" s="15"/>
      <c r="G152" s="15"/>
      <c r="H152" s="15"/>
      <c r="I152" s="356" t="str">
        <f t="shared" si="36"/>
        <v xml:space="preserve">  Prestação - Op. 9 - </v>
      </c>
      <c r="J152" s="298"/>
      <c r="K152" s="274"/>
      <c r="L152" s="155">
        <f t="shared" ref="L152:U152" si="47">IF(AND(L76="",L98=""),"",L76+L98)</f>
        <v>0</v>
      </c>
      <c r="M152" s="155">
        <f t="shared" si="47"/>
        <v>0</v>
      </c>
      <c r="N152" s="155">
        <f t="shared" si="47"/>
        <v>0</v>
      </c>
      <c r="O152" s="155">
        <f t="shared" si="47"/>
        <v>0</v>
      </c>
      <c r="P152" s="155">
        <f t="shared" si="47"/>
        <v>0</v>
      </c>
      <c r="Q152" s="155">
        <f t="shared" si="47"/>
        <v>0</v>
      </c>
      <c r="R152" s="155">
        <f t="shared" si="47"/>
        <v>0</v>
      </c>
      <c r="S152" s="155">
        <f t="shared" si="47"/>
        <v>0</v>
      </c>
      <c r="T152" s="155">
        <f t="shared" si="47"/>
        <v>0</v>
      </c>
      <c r="U152" s="155">
        <f t="shared" si="47"/>
        <v>0</v>
      </c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spans="1:41" ht="19.5" hidden="1" customHeight="1" x14ac:dyDescent="0.2">
      <c r="A153" s="15"/>
      <c r="B153" s="15"/>
      <c r="C153" s="15"/>
      <c r="D153" s="15"/>
      <c r="E153" s="46">
        <f t="shared" si="39"/>
        <v>0</v>
      </c>
      <c r="F153" s="15"/>
      <c r="G153" s="15"/>
      <c r="H153" s="15"/>
      <c r="I153" s="356" t="str">
        <f t="shared" si="36"/>
        <v xml:space="preserve">  Prestação - Op. 10 - </v>
      </c>
      <c r="J153" s="298"/>
      <c r="K153" s="274"/>
      <c r="L153" s="155">
        <f t="shared" ref="L153:U153" si="48">IF(AND(L77="",L99=""),"",L77+L99)</f>
        <v>0</v>
      </c>
      <c r="M153" s="155">
        <f t="shared" si="48"/>
        <v>0</v>
      </c>
      <c r="N153" s="155">
        <f t="shared" si="48"/>
        <v>0</v>
      </c>
      <c r="O153" s="155">
        <f t="shared" si="48"/>
        <v>0</v>
      </c>
      <c r="P153" s="155">
        <f t="shared" si="48"/>
        <v>0</v>
      </c>
      <c r="Q153" s="155">
        <f t="shared" si="48"/>
        <v>0</v>
      </c>
      <c r="R153" s="155">
        <f t="shared" si="48"/>
        <v>0</v>
      </c>
      <c r="S153" s="155">
        <f t="shared" si="48"/>
        <v>0</v>
      </c>
      <c r="T153" s="155">
        <f t="shared" si="48"/>
        <v>0</v>
      </c>
      <c r="U153" s="155">
        <f t="shared" si="48"/>
        <v>0</v>
      </c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</row>
    <row r="154" spans="1:41" ht="19.5" hidden="1" customHeight="1" x14ac:dyDescent="0.2">
      <c r="A154" s="15"/>
      <c r="B154" s="15"/>
      <c r="C154" s="15"/>
      <c r="D154" s="15"/>
      <c r="E154" s="46">
        <f t="shared" si="39"/>
        <v>0</v>
      </c>
      <c r="F154" s="15"/>
      <c r="G154" s="15"/>
      <c r="H154" s="15"/>
      <c r="I154" s="356" t="str">
        <f t="shared" si="36"/>
        <v xml:space="preserve">  Prestação - Op. 11 - </v>
      </c>
      <c r="J154" s="298"/>
      <c r="K154" s="274"/>
      <c r="L154" s="155">
        <f t="shared" ref="L154:U154" si="49">IF(AND(L78="",L100=""),"",L78+L100)</f>
        <v>0</v>
      </c>
      <c r="M154" s="155">
        <f t="shared" si="49"/>
        <v>0</v>
      </c>
      <c r="N154" s="155">
        <f t="shared" si="49"/>
        <v>0</v>
      </c>
      <c r="O154" s="155">
        <f t="shared" si="49"/>
        <v>0</v>
      </c>
      <c r="P154" s="155">
        <f t="shared" si="49"/>
        <v>0</v>
      </c>
      <c r="Q154" s="155">
        <f t="shared" si="49"/>
        <v>0</v>
      </c>
      <c r="R154" s="155">
        <f t="shared" si="49"/>
        <v>0</v>
      </c>
      <c r="S154" s="155">
        <f t="shared" si="49"/>
        <v>0</v>
      </c>
      <c r="T154" s="155">
        <f t="shared" si="49"/>
        <v>0</v>
      </c>
      <c r="U154" s="155">
        <f t="shared" si="49"/>
        <v>0</v>
      </c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</row>
    <row r="155" spans="1:41" ht="19.5" hidden="1" customHeight="1" x14ac:dyDescent="0.2">
      <c r="A155" s="15"/>
      <c r="B155" s="15"/>
      <c r="C155" s="15"/>
      <c r="D155" s="15"/>
      <c r="E155" s="46">
        <f t="shared" si="39"/>
        <v>0</v>
      </c>
      <c r="F155" s="15"/>
      <c r="G155" s="15"/>
      <c r="H155" s="15"/>
      <c r="I155" s="356" t="str">
        <f t="shared" si="36"/>
        <v xml:space="preserve">  Prestação - Op. 12 - </v>
      </c>
      <c r="J155" s="298"/>
      <c r="K155" s="274"/>
      <c r="L155" s="155">
        <f t="shared" ref="L155:U155" si="50">IF(AND(L79="",L101=""),"",L79+L101)</f>
        <v>0</v>
      </c>
      <c r="M155" s="155">
        <f t="shared" si="50"/>
        <v>0</v>
      </c>
      <c r="N155" s="155">
        <f t="shared" si="50"/>
        <v>0</v>
      </c>
      <c r="O155" s="155">
        <f t="shared" si="50"/>
        <v>0</v>
      </c>
      <c r="P155" s="155">
        <f t="shared" si="50"/>
        <v>0</v>
      </c>
      <c r="Q155" s="155">
        <f t="shared" si="50"/>
        <v>0</v>
      </c>
      <c r="R155" s="155">
        <f t="shared" si="50"/>
        <v>0</v>
      </c>
      <c r="S155" s="155">
        <f t="shared" si="50"/>
        <v>0</v>
      </c>
      <c r="T155" s="155">
        <f t="shared" si="50"/>
        <v>0</v>
      </c>
      <c r="U155" s="155">
        <f t="shared" si="50"/>
        <v>0</v>
      </c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</row>
    <row r="156" spans="1:41" ht="19.5" hidden="1" customHeight="1" x14ac:dyDescent="0.2">
      <c r="A156" s="15"/>
      <c r="B156" s="15"/>
      <c r="C156" s="15"/>
      <c r="D156" s="15"/>
      <c r="E156" s="46">
        <f t="shared" si="39"/>
        <v>0</v>
      </c>
      <c r="F156" s="15"/>
      <c r="G156" s="15"/>
      <c r="H156" s="15"/>
      <c r="I156" s="356" t="str">
        <f t="shared" si="36"/>
        <v xml:space="preserve">  Prestação - Op. 13 - </v>
      </c>
      <c r="J156" s="298"/>
      <c r="K156" s="274"/>
      <c r="L156" s="155">
        <f t="shared" ref="L156:U156" si="51">IF(AND(L80="",L102=""),"",L80+L102)</f>
        <v>0</v>
      </c>
      <c r="M156" s="155">
        <f t="shared" si="51"/>
        <v>0</v>
      </c>
      <c r="N156" s="155">
        <f t="shared" si="51"/>
        <v>0</v>
      </c>
      <c r="O156" s="155">
        <f t="shared" si="51"/>
        <v>0</v>
      </c>
      <c r="P156" s="155">
        <f t="shared" si="51"/>
        <v>0</v>
      </c>
      <c r="Q156" s="155">
        <f t="shared" si="51"/>
        <v>0</v>
      </c>
      <c r="R156" s="155">
        <f t="shared" si="51"/>
        <v>0</v>
      </c>
      <c r="S156" s="155">
        <f t="shared" si="51"/>
        <v>0</v>
      </c>
      <c r="T156" s="155">
        <f t="shared" si="51"/>
        <v>0</v>
      </c>
      <c r="U156" s="155">
        <f t="shared" si="51"/>
        <v>0</v>
      </c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</row>
    <row r="157" spans="1:41" ht="19.5" hidden="1" customHeight="1" x14ac:dyDescent="0.2">
      <c r="A157" s="15"/>
      <c r="B157" s="15"/>
      <c r="C157" s="15"/>
      <c r="D157" s="15"/>
      <c r="E157" s="46">
        <f t="shared" si="39"/>
        <v>0</v>
      </c>
      <c r="F157" s="15"/>
      <c r="G157" s="15"/>
      <c r="H157" s="15"/>
      <c r="I157" s="356" t="str">
        <f t="shared" si="36"/>
        <v xml:space="preserve">  Prestação - Op. 14 - </v>
      </c>
      <c r="J157" s="298"/>
      <c r="K157" s="274"/>
      <c r="L157" s="155">
        <f t="shared" ref="L157:U157" si="52">IF(AND(L81="",L103=""),"",L81+L103)</f>
        <v>0</v>
      </c>
      <c r="M157" s="155">
        <f t="shared" si="52"/>
        <v>0</v>
      </c>
      <c r="N157" s="155">
        <f t="shared" si="52"/>
        <v>0</v>
      </c>
      <c r="O157" s="155">
        <f t="shared" si="52"/>
        <v>0</v>
      </c>
      <c r="P157" s="155">
        <f t="shared" si="52"/>
        <v>0</v>
      </c>
      <c r="Q157" s="155">
        <f t="shared" si="52"/>
        <v>0</v>
      </c>
      <c r="R157" s="155">
        <f t="shared" si="52"/>
        <v>0</v>
      </c>
      <c r="S157" s="155">
        <f t="shared" si="52"/>
        <v>0</v>
      </c>
      <c r="T157" s="155">
        <f t="shared" si="52"/>
        <v>0</v>
      </c>
      <c r="U157" s="155">
        <f t="shared" si="52"/>
        <v>0</v>
      </c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spans="1:41" ht="19.5" hidden="1" customHeight="1" x14ac:dyDescent="0.2">
      <c r="A158" s="15"/>
      <c r="B158" s="15"/>
      <c r="C158" s="15"/>
      <c r="D158" s="15"/>
      <c r="E158" s="46">
        <f t="shared" si="39"/>
        <v>0</v>
      </c>
      <c r="F158" s="15"/>
      <c r="G158" s="15"/>
      <c r="H158" s="15"/>
      <c r="I158" s="356" t="str">
        <f t="shared" si="36"/>
        <v xml:space="preserve">  Prestação - Op. 15 - </v>
      </c>
      <c r="J158" s="298"/>
      <c r="K158" s="274"/>
      <c r="L158" s="155">
        <f t="shared" ref="L158:U158" si="53">IF(AND(L82="",L104=""),"",L82+L104)</f>
        <v>0</v>
      </c>
      <c r="M158" s="155">
        <f t="shared" si="53"/>
        <v>0</v>
      </c>
      <c r="N158" s="155">
        <f t="shared" si="53"/>
        <v>0</v>
      </c>
      <c r="O158" s="155">
        <f t="shared" si="53"/>
        <v>0</v>
      </c>
      <c r="P158" s="155">
        <f t="shared" si="53"/>
        <v>0</v>
      </c>
      <c r="Q158" s="155">
        <f t="shared" si="53"/>
        <v>0</v>
      </c>
      <c r="R158" s="155">
        <f t="shared" si="53"/>
        <v>0</v>
      </c>
      <c r="S158" s="155">
        <f t="shared" si="53"/>
        <v>0</v>
      </c>
      <c r="T158" s="155">
        <f t="shared" si="53"/>
        <v>0</v>
      </c>
      <c r="U158" s="155">
        <f t="shared" si="53"/>
        <v>0</v>
      </c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spans="1:41" ht="19.5" hidden="1" customHeight="1" x14ac:dyDescent="0.2">
      <c r="A159" s="15"/>
      <c r="B159" s="15"/>
      <c r="C159" s="15"/>
      <c r="D159" s="15"/>
      <c r="E159" s="46">
        <f t="shared" si="39"/>
        <v>0</v>
      </c>
      <c r="F159" s="15"/>
      <c r="G159" s="15"/>
      <c r="H159" s="15"/>
      <c r="I159" s="356" t="str">
        <f t="shared" si="36"/>
        <v xml:space="preserve">  Prestação - Op. 16 - </v>
      </c>
      <c r="J159" s="298"/>
      <c r="K159" s="274"/>
      <c r="L159" s="155">
        <f t="shared" ref="L159:U159" si="54">IF(AND(L83="",L105=""),"",L83+L105)</f>
        <v>0</v>
      </c>
      <c r="M159" s="155">
        <f t="shared" si="54"/>
        <v>0</v>
      </c>
      <c r="N159" s="155">
        <f t="shared" si="54"/>
        <v>0</v>
      </c>
      <c r="O159" s="155">
        <f t="shared" si="54"/>
        <v>0</v>
      </c>
      <c r="P159" s="155">
        <f t="shared" si="54"/>
        <v>0</v>
      </c>
      <c r="Q159" s="155">
        <f t="shared" si="54"/>
        <v>0</v>
      </c>
      <c r="R159" s="155">
        <f t="shared" si="54"/>
        <v>0</v>
      </c>
      <c r="S159" s="155">
        <f t="shared" si="54"/>
        <v>0</v>
      </c>
      <c r="T159" s="155">
        <f t="shared" si="54"/>
        <v>0</v>
      </c>
      <c r="U159" s="155">
        <f t="shared" si="54"/>
        <v>0</v>
      </c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</row>
    <row r="160" spans="1:41" ht="19.5" hidden="1" customHeight="1" x14ac:dyDescent="0.2">
      <c r="A160" s="15"/>
      <c r="B160" s="15"/>
      <c r="C160" s="15"/>
      <c r="D160" s="15"/>
      <c r="E160" s="46">
        <f t="shared" si="39"/>
        <v>0</v>
      </c>
      <c r="F160" s="15"/>
      <c r="G160" s="15"/>
      <c r="H160" s="15"/>
      <c r="I160" s="356" t="str">
        <f t="shared" si="36"/>
        <v xml:space="preserve">  Prestação - Op. 17 - </v>
      </c>
      <c r="J160" s="298"/>
      <c r="K160" s="274"/>
      <c r="L160" s="155">
        <f t="shared" ref="L160:U160" si="55">IF(AND(L84="",L106=""),"",L84+L106)</f>
        <v>0</v>
      </c>
      <c r="M160" s="155">
        <f t="shared" si="55"/>
        <v>0</v>
      </c>
      <c r="N160" s="155">
        <f t="shared" si="55"/>
        <v>0</v>
      </c>
      <c r="O160" s="155">
        <f t="shared" si="55"/>
        <v>0</v>
      </c>
      <c r="P160" s="155">
        <f t="shared" si="55"/>
        <v>0</v>
      </c>
      <c r="Q160" s="155">
        <f t="shared" si="55"/>
        <v>0</v>
      </c>
      <c r="R160" s="155">
        <f t="shared" si="55"/>
        <v>0</v>
      </c>
      <c r="S160" s="155">
        <f t="shared" si="55"/>
        <v>0</v>
      </c>
      <c r="T160" s="155">
        <f t="shared" si="55"/>
        <v>0</v>
      </c>
      <c r="U160" s="155">
        <f t="shared" si="55"/>
        <v>0</v>
      </c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</row>
    <row r="161" spans="1:41" ht="19.5" hidden="1" customHeight="1" x14ac:dyDescent="0.2">
      <c r="A161" s="15"/>
      <c r="B161" s="15"/>
      <c r="C161" s="15"/>
      <c r="D161" s="15"/>
      <c r="E161" s="46">
        <f t="shared" si="39"/>
        <v>0</v>
      </c>
      <c r="F161" s="15"/>
      <c r="G161" s="15"/>
      <c r="H161" s="15"/>
      <c r="I161" s="356" t="str">
        <f t="shared" si="36"/>
        <v xml:space="preserve">  Prestação - Op. 18 - </v>
      </c>
      <c r="J161" s="298"/>
      <c r="K161" s="274"/>
      <c r="L161" s="155">
        <f t="shared" ref="L161:U161" si="56">IF(AND(L85="",L107=""),"",L85+L107)</f>
        <v>0</v>
      </c>
      <c r="M161" s="155">
        <f t="shared" si="56"/>
        <v>0</v>
      </c>
      <c r="N161" s="155">
        <f t="shared" si="56"/>
        <v>0</v>
      </c>
      <c r="O161" s="155">
        <f t="shared" si="56"/>
        <v>0</v>
      </c>
      <c r="P161" s="155">
        <f t="shared" si="56"/>
        <v>0</v>
      </c>
      <c r="Q161" s="155">
        <f t="shared" si="56"/>
        <v>0</v>
      </c>
      <c r="R161" s="155">
        <f t="shared" si="56"/>
        <v>0</v>
      </c>
      <c r="S161" s="155">
        <f t="shared" si="56"/>
        <v>0</v>
      </c>
      <c r="T161" s="155">
        <f t="shared" si="56"/>
        <v>0</v>
      </c>
      <c r="U161" s="155">
        <f t="shared" si="56"/>
        <v>0</v>
      </c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</row>
    <row r="162" spans="1:41" ht="19.5" hidden="1" customHeight="1" x14ac:dyDescent="0.2">
      <c r="A162" s="15"/>
      <c r="B162" s="15"/>
      <c r="C162" s="15"/>
      <c r="D162" s="15"/>
      <c r="E162" s="46">
        <f t="shared" si="39"/>
        <v>0</v>
      </c>
      <c r="F162" s="15"/>
      <c r="G162" s="15"/>
      <c r="H162" s="15"/>
      <c r="I162" s="356" t="str">
        <f t="shared" si="36"/>
        <v xml:space="preserve">  Prestação - Op. 19 - </v>
      </c>
      <c r="J162" s="298"/>
      <c r="K162" s="274"/>
      <c r="L162" s="155">
        <f t="shared" ref="L162:U162" si="57">IF(AND(L86="",L108=""),"",L86+L108)</f>
        <v>0</v>
      </c>
      <c r="M162" s="155">
        <f t="shared" si="57"/>
        <v>0</v>
      </c>
      <c r="N162" s="155">
        <f t="shared" si="57"/>
        <v>0</v>
      </c>
      <c r="O162" s="155">
        <f t="shared" si="57"/>
        <v>0</v>
      </c>
      <c r="P162" s="155">
        <f t="shared" si="57"/>
        <v>0</v>
      </c>
      <c r="Q162" s="155">
        <f t="shared" si="57"/>
        <v>0</v>
      </c>
      <c r="R162" s="155">
        <f t="shared" si="57"/>
        <v>0</v>
      </c>
      <c r="S162" s="155">
        <f t="shared" si="57"/>
        <v>0</v>
      </c>
      <c r="T162" s="155">
        <f t="shared" si="57"/>
        <v>0</v>
      </c>
      <c r="U162" s="155">
        <f t="shared" si="57"/>
        <v>0</v>
      </c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</row>
    <row r="163" spans="1:41" ht="15.75" customHeight="1" x14ac:dyDescent="0.2">
      <c r="A163" s="15"/>
      <c r="B163" s="15"/>
      <c r="C163" s="15"/>
      <c r="D163" s="15"/>
      <c r="E163" s="15"/>
      <c r="F163" s="15"/>
      <c r="G163" s="15"/>
      <c r="H163" s="15"/>
      <c r="I163" s="23"/>
      <c r="J163" s="23"/>
      <c r="K163" s="23"/>
      <c r="L163" s="23"/>
      <c r="M163" s="23"/>
      <c r="N163" s="23"/>
      <c r="O163" s="23"/>
      <c r="P163" s="23"/>
      <c r="Q163" s="23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spans="1:41" ht="15.75" hidden="1" customHeight="1" x14ac:dyDescent="0.2">
      <c r="A164" s="15"/>
      <c r="B164" s="15"/>
      <c r="C164" s="15"/>
      <c r="D164" s="15"/>
      <c r="E164" s="15"/>
      <c r="F164" s="15"/>
      <c r="G164" s="15"/>
      <c r="H164" s="15"/>
      <c r="I164" s="23"/>
      <c r="J164" s="23"/>
      <c r="K164" s="23"/>
      <c r="L164" s="265">
        <f t="shared" ref="L164:U164" si="58">L114</f>
        <v>1</v>
      </c>
      <c r="M164" s="265">
        <f t="shared" si="58"/>
        <v>1</v>
      </c>
      <c r="N164" s="265">
        <f t="shared" si="58"/>
        <v>1</v>
      </c>
      <c r="O164" s="265">
        <f t="shared" si="58"/>
        <v>1</v>
      </c>
      <c r="P164" s="265">
        <f t="shared" si="58"/>
        <v>1</v>
      </c>
      <c r="Q164" s="265">
        <f t="shared" si="58"/>
        <v>1</v>
      </c>
      <c r="R164" s="265">
        <f t="shared" si="58"/>
        <v>1</v>
      </c>
      <c r="S164" s="265">
        <f t="shared" si="58"/>
        <v>1</v>
      </c>
      <c r="T164" s="265">
        <f t="shared" si="58"/>
        <v>1</v>
      </c>
      <c r="U164" s="265">
        <f t="shared" si="58"/>
        <v>1</v>
      </c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</row>
    <row r="165" spans="1:41" ht="15.75" hidden="1" customHeight="1" x14ac:dyDescent="0.2">
      <c r="A165" s="15"/>
      <c r="B165" s="15"/>
      <c r="C165" s="15"/>
      <c r="D165" s="15"/>
      <c r="E165" s="15"/>
      <c r="F165" s="15"/>
      <c r="G165" s="15"/>
      <c r="H165" s="15"/>
      <c r="I165" s="23"/>
      <c r="J165" s="23"/>
      <c r="K165" s="23"/>
      <c r="L165" s="243" t="str">
        <f>IF(ISERROR(HLOOKUP(0,M164:U165,2,0)),"",HLOOKUP(0,M164:U165,2,0))</f>
        <v/>
      </c>
      <c r="M165" s="244" t="s">
        <v>241</v>
      </c>
      <c r="N165" s="244" t="s">
        <v>242</v>
      </c>
      <c r="O165" s="244" t="s">
        <v>243</v>
      </c>
      <c r="P165" s="244" t="s">
        <v>244</v>
      </c>
      <c r="Q165" s="244" t="s">
        <v>245</v>
      </c>
      <c r="R165" s="244" t="s">
        <v>246</v>
      </c>
      <c r="S165" s="244" t="s">
        <v>247</v>
      </c>
      <c r="T165" s="244" t="s">
        <v>248</v>
      </c>
      <c r="U165" s="244" t="s">
        <v>249</v>
      </c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spans="1:41" ht="15.75" hidden="1" customHeight="1" x14ac:dyDescent="0.2">
      <c r="A166" s="15"/>
      <c r="B166" s="15"/>
      <c r="C166" s="15"/>
      <c r="D166" s="15"/>
      <c r="E166" s="15"/>
      <c r="F166" s="15"/>
      <c r="G166" s="15"/>
      <c r="H166" s="15"/>
      <c r="I166" s="23"/>
      <c r="J166" s="23"/>
      <c r="K166" s="23"/>
      <c r="L166" s="23"/>
      <c r="M166" s="23"/>
      <c r="N166" s="23"/>
      <c r="O166" s="23"/>
      <c r="P166" s="23"/>
      <c r="Q166" s="23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spans="1:41" ht="15.75" hidden="1" customHeight="1" x14ac:dyDescent="0.2">
      <c r="A167" s="15"/>
      <c r="B167" s="15"/>
      <c r="C167" s="15"/>
      <c r="D167" s="15"/>
      <c r="E167" s="15"/>
      <c r="F167" s="15"/>
      <c r="G167" s="15"/>
      <c r="H167" s="15"/>
      <c r="I167" s="23"/>
      <c r="J167" s="23"/>
      <c r="K167" s="23"/>
      <c r="L167" s="23"/>
      <c r="M167" s="23"/>
      <c r="N167" s="23"/>
      <c r="O167" s="23"/>
      <c r="P167" s="23"/>
      <c r="Q167" s="23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</row>
    <row r="168" spans="1:41" ht="15.75" customHeight="1" x14ac:dyDescent="0.2">
      <c r="A168" s="15"/>
      <c r="B168" s="15"/>
      <c r="C168" s="15"/>
      <c r="D168" s="15"/>
      <c r="E168" s="15"/>
      <c r="F168" s="15"/>
      <c r="G168" s="15"/>
      <c r="H168" s="15"/>
      <c r="I168" s="23"/>
      <c r="J168" s="23"/>
      <c r="K168" s="23"/>
      <c r="L168" s="23"/>
      <c r="M168" s="23"/>
      <c r="N168" s="23"/>
      <c r="O168" s="23"/>
      <c r="P168" s="23"/>
      <c r="Q168" s="23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spans="1:41" ht="15.75" customHeight="1" x14ac:dyDescent="0.2">
      <c r="A169" s="15"/>
      <c r="B169" s="15"/>
      <c r="C169" s="15"/>
      <c r="D169" s="15"/>
      <c r="E169" s="15"/>
      <c r="F169" s="15"/>
      <c r="G169" s="15"/>
      <c r="H169" s="15"/>
      <c r="I169" s="23"/>
      <c r="J169" s="23"/>
      <c r="K169" s="23"/>
      <c r="L169" s="23"/>
      <c r="M169" s="23"/>
      <c r="N169" s="23"/>
      <c r="O169" s="23"/>
      <c r="P169" s="23"/>
      <c r="Q169" s="23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</row>
    <row r="170" spans="1:41" ht="15.75" hidden="1" customHeight="1" x14ac:dyDescent="0.2">
      <c r="A170" s="15"/>
      <c r="B170" s="15"/>
      <c r="C170" s="15"/>
      <c r="D170" s="15"/>
      <c r="E170" s="15"/>
      <c r="F170" s="15"/>
      <c r="G170" s="15"/>
      <c r="H170" s="15"/>
      <c r="I170" s="23"/>
      <c r="J170" s="23"/>
      <c r="K170" s="23"/>
      <c r="L170" s="23">
        <f t="shared" ref="L170:U170" si="59">IF(L59&lt;0,1,0)</f>
        <v>0</v>
      </c>
      <c r="M170" s="23">
        <f t="shared" si="59"/>
        <v>0</v>
      </c>
      <c r="N170" s="23">
        <f t="shared" si="59"/>
        <v>0</v>
      </c>
      <c r="O170" s="23">
        <f t="shared" si="59"/>
        <v>0</v>
      </c>
      <c r="P170" s="23">
        <f t="shared" si="59"/>
        <v>0</v>
      </c>
      <c r="Q170" s="23">
        <f t="shared" si="59"/>
        <v>0</v>
      </c>
      <c r="R170" s="23">
        <f t="shared" si="59"/>
        <v>0</v>
      </c>
      <c r="S170" s="23">
        <f t="shared" si="59"/>
        <v>0</v>
      </c>
      <c r="T170" s="23">
        <f t="shared" si="59"/>
        <v>0</v>
      </c>
      <c r="U170" s="23">
        <f t="shared" si="59"/>
        <v>0</v>
      </c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</row>
    <row r="171" spans="1:41" ht="15.75" hidden="1" customHeight="1" x14ac:dyDescent="0.2">
      <c r="A171" s="15"/>
      <c r="B171" s="15"/>
      <c r="C171" s="15"/>
      <c r="D171" s="15"/>
      <c r="E171" s="15"/>
      <c r="F171" s="15"/>
      <c r="G171" s="15"/>
      <c r="H171" s="15"/>
      <c r="I171" s="23"/>
      <c r="J171" s="23"/>
      <c r="K171" s="23"/>
      <c r="L171" s="23">
        <f t="shared" ref="L171:U171" si="60">IF(AND(L59=0,L38&lt;&gt;0),1,0)</f>
        <v>0</v>
      </c>
      <c r="M171" s="23">
        <f t="shared" si="60"/>
        <v>0</v>
      </c>
      <c r="N171" s="23">
        <f t="shared" si="60"/>
        <v>0</v>
      </c>
      <c r="O171" s="23">
        <f t="shared" si="60"/>
        <v>0</v>
      </c>
      <c r="P171" s="23">
        <f t="shared" si="60"/>
        <v>0</v>
      </c>
      <c r="Q171" s="23">
        <f t="shared" si="60"/>
        <v>0</v>
      </c>
      <c r="R171" s="23">
        <f t="shared" si="60"/>
        <v>0</v>
      </c>
      <c r="S171" s="23">
        <f t="shared" si="60"/>
        <v>0</v>
      </c>
      <c r="T171" s="23">
        <f t="shared" si="60"/>
        <v>0</v>
      </c>
      <c r="U171" s="23">
        <f t="shared" si="60"/>
        <v>0</v>
      </c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spans="1:41" ht="15.75" hidden="1" customHeight="1" x14ac:dyDescent="0.2">
      <c r="A172" s="15"/>
      <c r="B172" s="15"/>
      <c r="C172" s="15"/>
      <c r="D172" s="15"/>
      <c r="E172" s="15"/>
      <c r="F172" s="15"/>
      <c r="G172" s="15"/>
      <c r="H172" s="15"/>
      <c r="I172" s="23"/>
      <c r="J172" s="23"/>
      <c r="K172" s="23"/>
      <c r="L172" s="23">
        <f t="shared" ref="L172:U172" si="61">IF(AND(L59&gt;20,L59&lt;80),0,1)</f>
        <v>1</v>
      </c>
      <c r="M172" s="23">
        <f t="shared" si="61"/>
        <v>1</v>
      </c>
      <c r="N172" s="23">
        <f t="shared" si="61"/>
        <v>1</v>
      </c>
      <c r="O172" s="23">
        <f t="shared" si="61"/>
        <v>1</v>
      </c>
      <c r="P172" s="23">
        <f t="shared" si="61"/>
        <v>1</v>
      </c>
      <c r="Q172" s="23">
        <f t="shared" si="61"/>
        <v>1</v>
      </c>
      <c r="R172" s="23">
        <f t="shared" si="61"/>
        <v>1</v>
      </c>
      <c r="S172" s="23">
        <f t="shared" si="61"/>
        <v>1</v>
      </c>
      <c r="T172" s="23">
        <f t="shared" si="61"/>
        <v>1</v>
      </c>
      <c r="U172" s="23">
        <f t="shared" si="61"/>
        <v>1</v>
      </c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</row>
    <row r="173" spans="1:41" ht="15.75" hidden="1" customHeight="1" x14ac:dyDescent="0.2">
      <c r="A173" s="15"/>
      <c r="B173" s="15"/>
      <c r="C173" s="15"/>
      <c r="D173" s="15"/>
      <c r="E173" s="15"/>
      <c r="F173" s="15"/>
      <c r="G173" s="15"/>
      <c r="H173" s="15"/>
      <c r="I173" s="23"/>
      <c r="J173" s="23"/>
      <c r="K173" s="23"/>
      <c r="L173" s="266">
        <f t="shared" ref="L173:U173" si="62">IF(AND(L59=0,L38=0),0,SUM(L170:L172))</f>
        <v>0</v>
      </c>
      <c r="M173" s="266">
        <f t="shared" si="62"/>
        <v>0</v>
      </c>
      <c r="N173" s="266">
        <f t="shared" si="62"/>
        <v>0</v>
      </c>
      <c r="O173" s="266">
        <f t="shared" si="62"/>
        <v>1</v>
      </c>
      <c r="P173" s="266">
        <f t="shared" si="62"/>
        <v>1</v>
      </c>
      <c r="Q173" s="266">
        <f t="shared" si="62"/>
        <v>1</v>
      </c>
      <c r="R173" s="266">
        <f t="shared" si="62"/>
        <v>1</v>
      </c>
      <c r="S173" s="266">
        <f t="shared" si="62"/>
        <v>1</v>
      </c>
      <c r="T173" s="266">
        <f t="shared" si="62"/>
        <v>1</v>
      </c>
      <c r="U173" s="266">
        <f t="shared" si="62"/>
        <v>1</v>
      </c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spans="1:41" ht="15.75" hidden="1" customHeight="1" x14ac:dyDescent="0.2">
      <c r="A174" s="15"/>
      <c r="B174" s="15"/>
      <c r="C174" s="15"/>
      <c r="D174" s="15"/>
      <c r="E174" s="15"/>
      <c r="F174" s="15"/>
      <c r="G174" s="15"/>
      <c r="H174" s="15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</row>
    <row r="175" spans="1:41" ht="15.75" hidden="1" customHeight="1" x14ac:dyDescent="0.2">
      <c r="A175" s="15"/>
      <c r="B175" s="15"/>
      <c r="C175" s="15"/>
      <c r="D175" s="15"/>
      <c r="E175" s="15"/>
      <c r="F175" s="15"/>
      <c r="G175" s="15"/>
      <c r="H175" s="15"/>
      <c r="I175" s="23"/>
      <c r="J175" s="23"/>
      <c r="K175" s="23"/>
      <c r="L175" s="23">
        <f t="shared" ref="L175:U175" si="63">IF(L109&lt;0,1,0)</f>
        <v>0</v>
      </c>
      <c r="M175" s="23">
        <f t="shared" si="63"/>
        <v>0</v>
      </c>
      <c r="N175" s="23">
        <f t="shared" si="63"/>
        <v>0</v>
      </c>
      <c r="O175" s="23">
        <f t="shared" si="63"/>
        <v>0</v>
      </c>
      <c r="P175" s="23">
        <f t="shared" si="63"/>
        <v>0</v>
      </c>
      <c r="Q175" s="23">
        <f t="shared" si="63"/>
        <v>0</v>
      </c>
      <c r="R175" s="23">
        <f t="shared" si="63"/>
        <v>0</v>
      </c>
      <c r="S175" s="23">
        <f t="shared" si="63"/>
        <v>0</v>
      </c>
      <c r="T175" s="23">
        <f t="shared" si="63"/>
        <v>0</v>
      </c>
      <c r="U175" s="23">
        <f t="shared" si="63"/>
        <v>0</v>
      </c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</row>
    <row r="176" spans="1:41" ht="15.75" hidden="1" customHeight="1" x14ac:dyDescent="0.2">
      <c r="A176" s="15"/>
      <c r="B176" s="15"/>
      <c r="C176" s="15"/>
      <c r="D176" s="15"/>
      <c r="E176" s="15"/>
      <c r="F176" s="15"/>
      <c r="G176" s="15"/>
      <c r="H176" s="15"/>
      <c r="I176" s="23"/>
      <c r="J176" s="23"/>
      <c r="K176" s="23"/>
      <c r="L176" s="23">
        <f t="shared" ref="L176:U176" si="64">IF(AND(L109=0,L88&lt;&gt;0),1,0)</f>
        <v>0</v>
      </c>
      <c r="M176" s="23">
        <f t="shared" si="64"/>
        <v>0</v>
      </c>
      <c r="N176" s="23">
        <f t="shared" si="64"/>
        <v>0</v>
      </c>
      <c r="O176" s="23">
        <f t="shared" si="64"/>
        <v>0</v>
      </c>
      <c r="P176" s="23">
        <f t="shared" si="64"/>
        <v>0</v>
      </c>
      <c r="Q176" s="23">
        <f t="shared" si="64"/>
        <v>0</v>
      </c>
      <c r="R176" s="23">
        <f t="shared" si="64"/>
        <v>0</v>
      </c>
      <c r="S176" s="23">
        <f t="shared" si="64"/>
        <v>0</v>
      </c>
      <c r="T176" s="23">
        <f t="shared" si="64"/>
        <v>0</v>
      </c>
      <c r="U176" s="23">
        <f t="shared" si="64"/>
        <v>0</v>
      </c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</row>
    <row r="177" spans="1:41" ht="15.75" hidden="1" customHeight="1" x14ac:dyDescent="0.2">
      <c r="A177" s="15"/>
      <c r="B177" s="15"/>
      <c r="C177" s="15"/>
      <c r="D177" s="15"/>
      <c r="E177" s="15"/>
      <c r="F177" s="15"/>
      <c r="G177" s="15"/>
      <c r="H177" s="15"/>
      <c r="I177" s="23"/>
      <c r="J177" s="23"/>
      <c r="K177" s="23"/>
      <c r="L177" s="23">
        <f t="shared" ref="L177:U177" si="65">IF(AND(L109&gt;20,L109&lt;80),0,1)</f>
        <v>1</v>
      </c>
      <c r="M177" s="23">
        <f t="shared" si="65"/>
        <v>1</v>
      </c>
      <c r="N177" s="23">
        <f t="shared" si="65"/>
        <v>1</v>
      </c>
      <c r="O177" s="23">
        <f t="shared" si="65"/>
        <v>1</v>
      </c>
      <c r="P177" s="23">
        <f t="shared" si="65"/>
        <v>1</v>
      </c>
      <c r="Q177" s="23">
        <f t="shared" si="65"/>
        <v>1</v>
      </c>
      <c r="R177" s="23">
        <f t="shared" si="65"/>
        <v>1</v>
      </c>
      <c r="S177" s="23">
        <f t="shared" si="65"/>
        <v>1</v>
      </c>
      <c r="T177" s="23">
        <f t="shared" si="65"/>
        <v>1</v>
      </c>
      <c r="U177" s="23">
        <f t="shared" si="65"/>
        <v>1</v>
      </c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</row>
    <row r="178" spans="1:41" ht="15.75" hidden="1" customHeight="1" x14ac:dyDescent="0.2">
      <c r="A178" s="15"/>
      <c r="B178" s="15"/>
      <c r="C178" s="15"/>
      <c r="D178" s="15"/>
      <c r="E178" s="15"/>
      <c r="F178" s="15"/>
      <c r="G178" s="15"/>
      <c r="H178" s="15"/>
      <c r="I178" s="23"/>
      <c r="J178" s="23"/>
      <c r="K178" s="23"/>
      <c r="L178" s="266">
        <f t="shared" ref="L178:U178" si="66">IF(AND(L109=0,L88=0),0,SUM(L175:L177))</f>
        <v>1</v>
      </c>
      <c r="M178" s="266">
        <f t="shared" si="66"/>
        <v>1</v>
      </c>
      <c r="N178" s="266">
        <f t="shared" si="66"/>
        <v>1</v>
      </c>
      <c r="O178" s="266">
        <f t="shared" si="66"/>
        <v>1</v>
      </c>
      <c r="P178" s="266">
        <f t="shared" si="66"/>
        <v>1</v>
      </c>
      <c r="Q178" s="266">
        <f t="shared" si="66"/>
        <v>1</v>
      </c>
      <c r="R178" s="266">
        <f t="shared" si="66"/>
        <v>1</v>
      </c>
      <c r="S178" s="266">
        <f t="shared" si="66"/>
        <v>1</v>
      </c>
      <c r="T178" s="266">
        <f t="shared" si="66"/>
        <v>1</v>
      </c>
      <c r="U178" s="266">
        <f t="shared" si="66"/>
        <v>1</v>
      </c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</row>
    <row r="179" spans="1:41" ht="15.75" customHeight="1" x14ac:dyDescent="0.2">
      <c r="A179" s="15"/>
      <c r="B179" s="15"/>
      <c r="C179" s="15"/>
      <c r="D179" s="15"/>
      <c r="E179" s="15"/>
      <c r="F179" s="15"/>
      <c r="G179" s="15"/>
      <c r="H179" s="15"/>
      <c r="I179" s="23"/>
      <c r="J179" s="23"/>
      <c r="K179" s="23"/>
      <c r="L179" s="23"/>
      <c r="M179" s="23"/>
      <c r="N179" s="23"/>
      <c r="O179" s="23"/>
      <c r="P179" s="23"/>
      <c r="Q179" s="23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spans="1:41" ht="12.75" customHeight="1" x14ac:dyDescent="0.2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</row>
    <row r="181" spans="1:41" ht="12.75" customHeight="1" x14ac:dyDescent="0.2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</row>
    <row r="182" spans="1:41" ht="12.75" customHeight="1" x14ac:dyDescent="0.2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</row>
    <row r="183" spans="1:41" ht="12.75" customHeight="1" x14ac:dyDescent="0.2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</row>
    <row r="184" spans="1:41" ht="12.75" customHeight="1" x14ac:dyDescent="0.2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</row>
    <row r="185" spans="1:41" ht="12.75" customHeight="1" x14ac:dyDescent="0.2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</row>
    <row r="186" spans="1:41" ht="12.7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</row>
    <row r="187" spans="1:41" ht="12.75" customHeight="1" x14ac:dyDescent="0.2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</row>
    <row r="188" spans="1:41" ht="12.75" customHeight="1" x14ac:dyDescent="0.2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</row>
    <row r="189" spans="1:41" ht="12.75" customHeight="1" x14ac:dyDescent="0.2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</row>
    <row r="190" spans="1:41" ht="12.75" customHeight="1" x14ac:dyDescent="0.2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</row>
    <row r="191" spans="1:41" ht="12.75" customHeight="1" x14ac:dyDescent="0.2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</row>
    <row r="192" spans="1:41" ht="12.75" customHeight="1" x14ac:dyDescent="0.2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</row>
    <row r="193" spans="1:41" ht="12.75" customHeight="1" x14ac:dyDescent="0.2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</row>
    <row r="194" spans="1:41" ht="12.75" customHeight="1" x14ac:dyDescent="0.2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</row>
    <row r="195" spans="1:41" ht="12.75" customHeight="1" x14ac:dyDescent="0.2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</row>
    <row r="196" spans="1:41" ht="12.75" customHeight="1" x14ac:dyDescent="0.2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</row>
    <row r="197" spans="1:41" ht="12.75" customHeight="1" x14ac:dyDescent="0.2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</row>
    <row r="198" spans="1:41" ht="12.75" customHeight="1" x14ac:dyDescent="0.2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</row>
    <row r="199" spans="1:41" ht="12.75" customHeight="1" x14ac:dyDescent="0.2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</row>
    <row r="200" spans="1:41" ht="12.75" customHeight="1" x14ac:dyDescent="0.2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</row>
    <row r="201" spans="1:41" ht="12.75" customHeight="1" x14ac:dyDescent="0.2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</row>
    <row r="202" spans="1:41" ht="12.75" customHeight="1" x14ac:dyDescent="0.2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</row>
    <row r="203" spans="1:41" ht="12.75" customHeight="1" x14ac:dyDescent="0.2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</row>
    <row r="204" spans="1:41" ht="12.75" customHeight="1" x14ac:dyDescent="0.2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</row>
    <row r="205" spans="1:41" ht="12.75" customHeight="1" x14ac:dyDescent="0.2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</row>
    <row r="206" spans="1:41" ht="12.75" customHeight="1" x14ac:dyDescent="0.2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</row>
    <row r="207" spans="1:41" ht="12.75" customHeight="1" x14ac:dyDescent="0.2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</row>
    <row r="208" spans="1:41" ht="12.75" customHeight="1" x14ac:dyDescent="0.2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</row>
    <row r="209" spans="1:41" ht="12.75" customHeight="1" x14ac:dyDescent="0.2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</row>
    <row r="210" spans="1:41" ht="12.75" customHeight="1" x14ac:dyDescent="0.2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</row>
    <row r="211" spans="1:41" ht="12.75" customHeight="1" x14ac:dyDescent="0.2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</row>
    <row r="212" spans="1:41" ht="12.75" customHeight="1" x14ac:dyDescent="0.2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</row>
    <row r="213" spans="1:41" ht="12.75" customHeight="1" x14ac:dyDescent="0.2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</row>
    <row r="214" spans="1:41" ht="12.75" customHeight="1" x14ac:dyDescent="0.2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</row>
    <row r="215" spans="1:41" ht="12.75" customHeight="1" x14ac:dyDescent="0.2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</row>
    <row r="216" spans="1:41" ht="12.75" customHeight="1" x14ac:dyDescent="0.2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</row>
    <row r="217" spans="1:41" ht="12.75" customHeight="1" x14ac:dyDescent="0.2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</row>
    <row r="218" spans="1:41" ht="12.7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</row>
    <row r="219" spans="1:41" ht="12.75" customHeight="1" x14ac:dyDescent="0.2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</row>
    <row r="220" spans="1:41" ht="12.75" customHeight="1" x14ac:dyDescent="0.2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</row>
    <row r="221" spans="1:41" ht="12.75" customHeight="1" x14ac:dyDescent="0.2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</row>
    <row r="222" spans="1:41" ht="12.75" customHeight="1" x14ac:dyDescent="0.2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</row>
    <row r="223" spans="1:41" ht="12.75" customHeight="1" x14ac:dyDescent="0.2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</row>
    <row r="224" spans="1:41" ht="12.75" customHeight="1" x14ac:dyDescent="0.2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</row>
    <row r="225" spans="1:41" ht="12.75" customHeight="1" x14ac:dyDescent="0.2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</row>
    <row r="226" spans="1:41" ht="12.75" customHeight="1" x14ac:dyDescent="0.2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</row>
    <row r="227" spans="1:41" ht="12.75" customHeight="1" x14ac:dyDescent="0.2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</row>
    <row r="228" spans="1:41" ht="12.75" customHeight="1" x14ac:dyDescent="0.2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</row>
    <row r="229" spans="1:41" ht="12.75" customHeight="1" x14ac:dyDescent="0.2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</row>
    <row r="230" spans="1:41" ht="12.75" customHeight="1" x14ac:dyDescent="0.2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</row>
    <row r="231" spans="1:41" ht="12.75" customHeight="1" x14ac:dyDescent="0.2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</row>
    <row r="232" spans="1:41" ht="12.75" customHeight="1" x14ac:dyDescent="0.2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</row>
    <row r="233" spans="1:41" ht="12.75" customHeight="1" x14ac:dyDescent="0.2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</row>
    <row r="234" spans="1:41" ht="12.7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</row>
    <row r="235" spans="1:41" ht="12.75" customHeight="1" x14ac:dyDescent="0.2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</row>
    <row r="236" spans="1:41" ht="12.75" customHeight="1" x14ac:dyDescent="0.2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</row>
    <row r="237" spans="1:41" ht="12.75" customHeight="1" x14ac:dyDescent="0.2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</row>
    <row r="238" spans="1:41" ht="12.75" customHeight="1" x14ac:dyDescent="0.2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</row>
    <row r="239" spans="1:41" ht="12.75" customHeight="1" x14ac:dyDescent="0.2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</row>
    <row r="240" spans="1:41" ht="12.75" customHeight="1" x14ac:dyDescent="0.2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</row>
    <row r="241" spans="1:41" ht="12.75" customHeight="1" x14ac:dyDescent="0.2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</row>
    <row r="242" spans="1:41" ht="12.75" customHeight="1" x14ac:dyDescent="0.2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</row>
    <row r="243" spans="1:41" ht="12.75" customHeight="1" x14ac:dyDescent="0.2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</row>
    <row r="244" spans="1:41" ht="12.75" customHeight="1" x14ac:dyDescent="0.2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</row>
    <row r="245" spans="1:41" ht="12.75" customHeight="1" x14ac:dyDescent="0.2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</row>
    <row r="246" spans="1:41" ht="12.75" customHeight="1" x14ac:dyDescent="0.2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</row>
    <row r="247" spans="1:41" ht="12.75" customHeight="1" x14ac:dyDescent="0.2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</row>
    <row r="248" spans="1:41" ht="12.75" customHeight="1" x14ac:dyDescent="0.2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</row>
    <row r="249" spans="1:41" ht="12.75" customHeight="1" x14ac:dyDescent="0.2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</row>
    <row r="250" spans="1:41" ht="12.7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</row>
    <row r="251" spans="1:41" ht="12.75" customHeight="1" x14ac:dyDescent="0.2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</row>
    <row r="252" spans="1:41" ht="12.75" customHeight="1" x14ac:dyDescent="0.2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</row>
    <row r="253" spans="1:41" ht="12.75" customHeight="1" x14ac:dyDescent="0.2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</row>
    <row r="254" spans="1:41" ht="12.75" customHeight="1" x14ac:dyDescent="0.2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</row>
    <row r="255" spans="1:41" ht="12.75" customHeight="1" x14ac:dyDescent="0.2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</row>
    <row r="256" spans="1:41" ht="12.75" customHeight="1" x14ac:dyDescent="0.2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</row>
    <row r="257" spans="1:41" ht="12.75" customHeight="1" x14ac:dyDescent="0.2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</row>
    <row r="258" spans="1:41" ht="12.75" customHeight="1" x14ac:dyDescent="0.2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</row>
    <row r="259" spans="1:41" ht="12.75" customHeight="1" x14ac:dyDescent="0.2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</row>
    <row r="260" spans="1:41" ht="12.75" customHeight="1" x14ac:dyDescent="0.2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</row>
    <row r="261" spans="1:41" ht="12.75" customHeight="1" x14ac:dyDescent="0.2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</row>
    <row r="262" spans="1:41" ht="12.75" customHeight="1" x14ac:dyDescent="0.2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</row>
    <row r="263" spans="1:41" ht="12.75" customHeight="1" x14ac:dyDescent="0.2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</row>
    <row r="264" spans="1:41" ht="12.75" customHeight="1" x14ac:dyDescent="0.2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</row>
    <row r="265" spans="1:41" ht="12.75" customHeight="1" x14ac:dyDescent="0.2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</row>
    <row r="266" spans="1:41" ht="12.75" customHeight="1" x14ac:dyDescent="0.2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</row>
    <row r="267" spans="1:41" ht="12.75" customHeight="1" x14ac:dyDescent="0.2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</row>
    <row r="268" spans="1:41" ht="12.75" customHeight="1" x14ac:dyDescent="0.2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</row>
    <row r="269" spans="1:41" ht="12.75" customHeight="1" x14ac:dyDescent="0.2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</row>
    <row r="270" spans="1:41" ht="12.75" customHeight="1" x14ac:dyDescent="0.2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</row>
    <row r="271" spans="1:41" ht="12.75" customHeight="1" x14ac:dyDescent="0.2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</row>
    <row r="272" spans="1:41" ht="12.75" customHeight="1" x14ac:dyDescent="0.2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</row>
    <row r="273" spans="1:41" ht="12.75" customHeight="1" x14ac:dyDescent="0.2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</row>
    <row r="274" spans="1:41" ht="12.75" customHeight="1" x14ac:dyDescent="0.2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</row>
    <row r="275" spans="1:41" ht="12.75" customHeight="1" x14ac:dyDescent="0.2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</row>
    <row r="276" spans="1:41" ht="12.75" customHeight="1" x14ac:dyDescent="0.2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</row>
    <row r="277" spans="1:41" ht="12.75" customHeight="1" x14ac:dyDescent="0.2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</row>
    <row r="278" spans="1:41" ht="12.75" customHeight="1" x14ac:dyDescent="0.2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</row>
    <row r="279" spans="1:41" ht="12.75" customHeight="1" x14ac:dyDescent="0.2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</row>
    <row r="280" spans="1:41" ht="12.75" customHeight="1" x14ac:dyDescent="0.2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</row>
    <row r="281" spans="1:41" ht="12.7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</row>
    <row r="282" spans="1:41" ht="12.7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</row>
    <row r="283" spans="1:41" ht="12.7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</row>
    <row r="284" spans="1:41" ht="12.7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</row>
    <row r="285" spans="1:41" ht="12.75" customHeight="1" x14ac:dyDescent="0.2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</row>
    <row r="286" spans="1:41" ht="12.75" customHeight="1" x14ac:dyDescent="0.2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</row>
    <row r="287" spans="1:41" ht="12.75" customHeight="1" x14ac:dyDescent="0.2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</row>
    <row r="288" spans="1:41" ht="12.75" customHeight="1" x14ac:dyDescent="0.2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</row>
    <row r="289" spans="1:41" ht="12.75" customHeight="1" x14ac:dyDescent="0.2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</row>
    <row r="290" spans="1:41" ht="12.75" customHeight="1" x14ac:dyDescent="0.2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</row>
    <row r="291" spans="1:41" ht="12.7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</row>
    <row r="292" spans="1:41" ht="12.7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</row>
    <row r="293" spans="1:41" ht="12.75" customHeight="1" x14ac:dyDescent="0.2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</row>
    <row r="294" spans="1:41" ht="12.75" customHeight="1" x14ac:dyDescent="0.2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</row>
    <row r="295" spans="1:41" ht="12.75" customHeight="1" x14ac:dyDescent="0.2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</row>
    <row r="296" spans="1:41" ht="12.75" customHeight="1" x14ac:dyDescent="0.2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</row>
    <row r="297" spans="1:41" ht="12.75" customHeight="1" x14ac:dyDescent="0.2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</row>
    <row r="298" spans="1:41" ht="12.75" customHeight="1" x14ac:dyDescent="0.2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</row>
    <row r="299" spans="1:41" ht="12.75" customHeight="1" x14ac:dyDescent="0.2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</row>
    <row r="300" spans="1:41" ht="12.75" customHeight="1" x14ac:dyDescent="0.2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</row>
    <row r="301" spans="1:41" ht="12.75" customHeight="1" x14ac:dyDescent="0.2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</row>
    <row r="302" spans="1:41" ht="12.75" customHeight="1" x14ac:dyDescent="0.2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</row>
    <row r="303" spans="1:41" ht="12.75" customHeight="1" x14ac:dyDescent="0.2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</row>
    <row r="304" spans="1:41" ht="12.75" customHeight="1" x14ac:dyDescent="0.2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41" ht="12.75" customHeight="1" x14ac:dyDescent="0.2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</row>
    <row r="306" spans="1:41" ht="12.75" customHeight="1" x14ac:dyDescent="0.2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</row>
    <row r="307" spans="1:41" ht="12.75" customHeight="1" x14ac:dyDescent="0.2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</row>
    <row r="308" spans="1:41" ht="12.75" customHeight="1" x14ac:dyDescent="0.2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</row>
    <row r="309" spans="1:41" ht="12.75" customHeight="1" x14ac:dyDescent="0.2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</row>
    <row r="310" spans="1:41" ht="12.75" customHeight="1" x14ac:dyDescent="0.2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</row>
    <row r="311" spans="1:41" ht="12.75" customHeight="1" x14ac:dyDescent="0.2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</row>
    <row r="312" spans="1:41" ht="12.75" customHeight="1" x14ac:dyDescent="0.2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</row>
    <row r="313" spans="1:41" ht="12.75" customHeight="1" x14ac:dyDescent="0.2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</row>
    <row r="314" spans="1:41" ht="12.75" customHeight="1" x14ac:dyDescent="0.2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</row>
    <row r="315" spans="1:41" ht="12.75" customHeight="1" x14ac:dyDescent="0.2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</row>
    <row r="316" spans="1:41" ht="12.75" customHeight="1" x14ac:dyDescent="0.2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  <c r="AO316" s="62"/>
    </row>
    <row r="317" spans="1:41" ht="12.75" customHeight="1" x14ac:dyDescent="0.2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  <c r="AO317" s="62"/>
    </row>
    <row r="318" spans="1:41" ht="12.75" customHeight="1" x14ac:dyDescent="0.2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  <c r="AO318" s="62"/>
    </row>
    <row r="319" spans="1:41" ht="12.75" customHeight="1" x14ac:dyDescent="0.2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  <c r="AO319" s="62"/>
    </row>
    <row r="320" spans="1:41" ht="12.75" customHeight="1" x14ac:dyDescent="0.2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</row>
    <row r="321" spans="1:41" ht="12.75" customHeight="1" x14ac:dyDescent="0.2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  <c r="AO321" s="62"/>
    </row>
    <row r="322" spans="1:41" ht="12.75" customHeight="1" x14ac:dyDescent="0.2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  <c r="AO322" s="62"/>
    </row>
    <row r="323" spans="1:41" ht="12.75" customHeight="1" x14ac:dyDescent="0.2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</row>
    <row r="324" spans="1:41" ht="12.75" customHeight="1" x14ac:dyDescent="0.2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  <c r="AO324" s="62"/>
    </row>
    <row r="325" spans="1:41" ht="12.75" customHeight="1" x14ac:dyDescent="0.2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  <c r="AO325" s="62"/>
    </row>
    <row r="326" spans="1:41" ht="12.75" customHeight="1" x14ac:dyDescent="0.2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  <c r="AO326" s="62"/>
    </row>
    <row r="327" spans="1:41" ht="12.75" customHeight="1" x14ac:dyDescent="0.2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  <c r="AO327" s="62"/>
    </row>
    <row r="328" spans="1:41" ht="12.75" customHeight="1" x14ac:dyDescent="0.2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  <c r="AO328" s="62"/>
    </row>
    <row r="329" spans="1:41" ht="12.75" customHeight="1" x14ac:dyDescent="0.2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</row>
    <row r="330" spans="1:41" ht="12.75" customHeight="1" x14ac:dyDescent="0.2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/>
    </row>
    <row r="331" spans="1:41" ht="12.75" customHeight="1" x14ac:dyDescent="0.2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  <c r="AO331" s="62"/>
    </row>
    <row r="332" spans="1:41" ht="12.75" customHeight="1" x14ac:dyDescent="0.2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  <c r="AO332" s="62"/>
    </row>
    <row r="333" spans="1:41" ht="12.75" customHeight="1" x14ac:dyDescent="0.2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  <c r="AO333" s="62"/>
    </row>
    <row r="334" spans="1:41" ht="12.75" customHeight="1" x14ac:dyDescent="0.2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</row>
    <row r="335" spans="1:41" ht="12.75" customHeight="1" x14ac:dyDescent="0.2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</row>
    <row r="336" spans="1:41" ht="12.75" customHeight="1" x14ac:dyDescent="0.2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  <c r="AO336" s="62"/>
    </row>
    <row r="337" spans="1:41" ht="12.75" customHeight="1" x14ac:dyDescent="0.2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</row>
    <row r="338" spans="1:41" ht="12.75" customHeight="1" x14ac:dyDescent="0.2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</row>
    <row r="339" spans="1:41" ht="12.75" customHeight="1" x14ac:dyDescent="0.2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</row>
    <row r="340" spans="1:41" ht="12.75" customHeight="1" x14ac:dyDescent="0.2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</row>
    <row r="341" spans="1:41" ht="12.75" customHeight="1" x14ac:dyDescent="0.2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  <c r="AO341" s="62"/>
    </row>
    <row r="342" spans="1:41" ht="12.75" customHeight="1" x14ac:dyDescent="0.2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</row>
    <row r="343" spans="1:41" ht="12.75" customHeight="1" x14ac:dyDescent="0.2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</row>
    <row r="344" spans="1:41" ht="12.75" customHeight="1" x14ac:dyDescent="0.2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  <c r="AO344" s="62"/>
    </row>
    <row r="345" spans="1:41" ht="12.75" customHeight="1" x14ac:dyDescent="0.2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  <c r="AO345" s="62"/>
    </row>
    <row r="346" spans="1:41" ht="12.75" customHeight="1" x14ac:dyDescent="0.2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</row>
    <row r="347" spans="1:41" ht="12.75" customHeight="1" x14ac:dyDescent="0.2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</row>
    <row r="348" spans="1:41" ht="12.75" customHeight="1" x14ac:dyDescent="0.2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</row>
    <row r="349" spans="1:41" ht="12.75" customHeight="1" x14ac:dyDescent="0.2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  <c r="AO349" s="62"/>
    </row>
    <row r="350" spans="1:41" ht="12.75" customHeight="1" x14ac:dyDescent="0.2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</row>
    <row r="351" spans="1:41" ht="12.75" customHeight="1" x14ac:dyDescent="0.2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  <c r="AO351" s="62"/>
    </row>
    <row r="352" spans="1:41" ht="12.75" customHeight="1" x14ac:dyDescent="0.2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</row>
    <row r="353" spans="1:41" ht="12.75" customHeight="1" x14ac:dyDescent="0.2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/>
    </row>
    <row r="354" spans="1:41" ht="12.75" customHeight="1" x14ac:dyDescent="0.2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  <c r="AO354" s="62"/>
    </row>
    <row r="355" spans="1:41" ht="12.75" customHeight="1" x14ac:dyDescent="0.2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</row>
    <row r="356" spans="1:41" ht="12.75" customHeight="1" x14ac:dyDescent="0.2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62"/>
    </row>
    <row r="357" spans="1:41" ht="12.75" customHeight="1" x14ac:dyDescent="0.2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  <c r="AO357" s="62"/>
    </row>
    <row r="358" spans="1:41" ht="12.75" customHeight="1" x14ac:dyDescent="0.2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</row>
    <row r="359" spans="1:41" ht="12.75" customHeight="1" x14ac:dyDescent="0.2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  <c r="AO359" s="62"/>
    </row>
    <row r="360" spans="1:41" ht="12.75" customHeight="1" x14ac:dyDescent="0.2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</row>
    <row r="361" spans="1:41" ht="12.75" customHeight="1" x14ac:dyDescent="0.2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</row>
    <row r="362" spans="1:41" ht="12.75" customHeight="1" x14ac:dyDescent="0.2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</row>
    <row r="363" spans="1:41" ht="12.75" customHeight="1" x14ac:dyDescent="0.2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</row>
    <row r="364" spans="1:41" ht="12.75" customHeight="1" x14ac:dyDescent="0.2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</row>
    <row r="365" spans="1:41" ht="12.75" customHeight="1" x14ac:dyDescent="0.2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</row>
    <row r="366" spans="1:41" ht="12.75" customHeight="1" x14ac:dyDescent="0.2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</row>
    <row r="367" spans="1:41" ht="12.75" customHeight="1" x14ac:dyDescent="0.2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</row>
    <row r="368" spans="1:41" ht="12.75" customHeight="1" x14ac:dyDescent="0.2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</row>
    <row r="369" spans="1:41" ht="12.75" customHeight="1" x14ac:dyDescent="0.2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</row>
    <row r="370" spans="1:41" ht="12.75" customHeight="1" x14ac:dyDescent="0.2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</row>
    <row r="371" spans="1:41" ht="12.75" customHeight="1" x14ac:dyDescent="0.2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  <c r="AO371" s="62"/>
    </row>
    <row r="372" spans="1:41" ht="12.75" customHeight="1" x14ac:dyDescent="0.2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  <c r="AO372" s="62"/>
    </row>
    <row r="373" spans="1:41" ht="12.75" customHeight="1" x14ac:dyDescent="0.2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/>
    </row>
    <row r="374" spans="1:41" ht="12.75" customHeight="1" x14ac:dyDescent="0.2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  <c r="AO374" s="62"/>
    </row>
    <row r="375" spans="1:41" ht="12.75" customHeight="1" x14ac:dyDescent="0.2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  <c r="AO375" s="62"/>
    </row>
    <row r="376" spans="1:41" ht="12.75" customHeight="1" x14ac:dyDescent="0.2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</row>
    <row r="377" spans="1:41" ht="12.75" customHeight="1" x14ac:dyDescent="0.2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</row>
    <row r="378" spans="1:41" ht="12.75" customHeight="1" x14ac:dyDescent="0.2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</row>
    <row r="379" spans="1:41" ht="12.75" customHeight="1" x14ac:dyDescent="0.2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  <c r="AO379" s="62"/>
    </row>
    <row r="380" spans="1:41" ht="12.75" customHeight="1" x14ac:dyDescent="0.2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  <c r="AO380" s="62"/>
    </row>
    <row r="381" spans="1:41" ht="12.75" customHeight="1" x14ac:dyDescent="0.2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</row>
    <row r="382" spans="1:41" ht="12.75" customHeight="1" x14ac:dyDescent="0.2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</row>
    <row r="383" spans="1:41" ht="12.75" customHeight="1" x14ac:dyDescent="0.2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41" ht="12.75" customHeight="1" x14ac:dyDescent="0.2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  <c r="AO384" s="62"/>
    </row>
    <row r="385" spans="1:41" ht="12.75" customHeight="1" x14ac:dyDescent="0.2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  <c r="AO385" s="62"/>
    </row>
    <row r="386" spans="1:41" ht="12.75" customHeight="1" x14ac:dyDescent="0.2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  <c r="AO386" s="62"/>
    </row>
    <row r="387" spans="1:41" ht="12.75" customHeight="1" x14ac:dyDescent="0.2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  <c r="AO387" s="62"/>
    </row>
    <row r="388" spans="1:41" ht="12.75" customHeight="1" x14ac:dyDescent="0.2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</row>
    <row r="389" spans="1:41" ht="12.75" customHeight="1" x14ac:dyDescent="0.2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</row>
    <row r="390" spans="1:41" ht="12.75" customHeight="1" x14ac:dyDescent="0.2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</row>
    <row r="391" spans="1:41" ht="12.75" customHeight="1" x14ac:dyDescent="0.2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  <c r="AO391" s="62"/>
    </row>
    <row r="392" spans="1:41" ht="12.75" customHeight="1" x14ac:dyDescent="0.2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</row>
    <row r="393" spans="1:41" ht="12.75" customHeight="1" x14ac:dyDescent="0.2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  <c r="AO393" s="62"/>
    </row>
    <row r="394" spans="1:41" ht="12.75" customHeight="1" x14ac:dyDescent="0.2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  <c r="AO394" s="62"/>
    </row>
    <row r="395" spans="1:41" ht="12.75" customHeight="1" x14ac:dyDescent="0.2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  <c r="AO395" s="62"/>
    </row>
    <row r="396" spans="1:41" ht="12.75" customHeight="1" x14ac:dyDescent="0.2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  <c r="AO396" s="62"/>
    </row>
    <row r="397" spans="1:41" ht="12.75" customHeight="1" x14ac:dyDescent="0.2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  <c r="AO397" s="62"/>
    </row>
    <row r="398" spans="1:41" ht="12.75" customHeight="1" x14ac:dyDescent="0.2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  <c r="AO398" s="62"/>
    </row>
    <row r="399" spans="1:41" ht="12.75" customHeight="1" x14ac:dyDescent="0.2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</row>
    <row r="400" spans="1:41" ht="12.75" customHeight="1" x14ac:dyDescent="0.2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</row>
    <row r="401" spans="1:41" ht="12.75" customHeight="1" x14ac:dyDescent="0.2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  <c r="AO401" s="62"/>
    </row>
    <row r="402" spans="1:41" ht="12.75" customHeight="1" x14ac:dyDescent="0.2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  <c r="AO402" s="62"/>
    </row>
    <row r="403" spans="1:41" ht="12.75" customHeight="1" x14ac:dyDescent="0.2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  <c r="AO403" s="62"/>
    </row>
    <row r="404" spans="1:41" ht="12.75" customHeight="1" x14ac:dyDescent="0.2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</row>
    <row r="405" spans="1:41" ht="12.75" customHeight="1" x14ac:dyDescent="0.2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  <c r="AO405" s="62"/>
    </row>
    <row r="406" spans="1:41" ht="12.75" customHeight="1" x14ac:dyDescent="0.2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  <c r="AO406" s="62"/>
    </row>
    <row r="407" spans="1:41" ht="12.75" customHeight="1" x14ac:dyDescent="0.2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  <c r="AO407" s="62"/>
    </row>
    <row r="408" spans="1:41" ht="12.75" customHeight="1" x14ac:dyDescent="0.2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</row>
    <row r="409" spans="1:41" ht="12.75" customHeight="1" x14ac:dyDescent="0.2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  <c r="AO409" s="62"/>
    </row>
    <row r="410" spans="1:41" ht="12.75" customHeight="1" x14ac:dyDescent="0.2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  <c r="AO410" s="62"/>
    </row>
    <row r="411" spans="1:41" ht="12.75" customHeight="1" x14ac:dyDescent="0.2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  <c r="AO411" s="62"/>
    </row>
    <row r="412" spans="1:41" ht="12.75" customHeight="1" x14ac:dyDescent="0.2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  <c r="AO412" s="62"/>
    </row>
    <row r="413" spans="1:41" ht="12.75" customHeight="1" x14ac:dyDescent="0.2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</row>
    <row r="414" spans="1:41" ht="12.75" customHeight="1" x14ac:dyDescent="0.2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</row>
    <row r="415" spans="1:41" ht="12.75" customHeight="1" x14ac:dyDescent="0.2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</row>
    <row r="416" spans="1:41" ht="12.75" customHeight="1" x14ac:dyDescent="0.2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</row>
    <row r="417" spans="1:41" ht="12.75" customHeight="1" x14ac:dyDescent="0.2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</row>
    <row r="418" spans="1:41" ht="12.75" customHeight="1" x14ac:dyDescent="0.2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</row>
    <row r="419" spans="1:41" ht="12.75" customHeight="1" x14ac:dyDescent="0.2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</row>
    <row r="420" spans="1:41" ht="12.75" customHeight="1" x14ac:dyDescent="0.2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  <c r="AO420" s="62"/>
    </row>
    <row r="421" spans="1:41" ht="12.75" customHeight="1" x14ac:dyDescent="0.2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  <c r="AO421" s="62"/>
    </row>
    <row r="422" spans="1:41" ht="12.75" customHeight="1" x14ac:dyDescent="0.2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</row>
    <row r="423" spans="1:41" ht="12.75" customHeight="1" x14ac:dyDescent="0.2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  <c r="AO423" s="62"/>
    </row>
    <row r="424" spans="1:41" ht="12.75" customHeight="1" x14ac:dyDescent="0.2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  <c r="AO424" s="62"/>
    </row>
    <row r="425" spans="1:41" ht="12.75" customHeight="1" x14ac:dyDescent="0.2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  <c r="AO425" s="62"/>
    </row>
    <row r="426" spans="1:41" ht="12.75" customHeight="1" x14ac:dyDescent="0.2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  <c r="AO426" s="62"/>
    </row>
    <row r="427" spans="1:41" ht="12.75" customHeight="1" x14ac:dyDescent="0.2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  <c r="AO427" s="62"/>
    </row>
    <row r="428" spans="1:41" ht="12.75" customHeight="1" x14ac:dyDescent="0.2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  <c r="AO428" s="62"/>
    </row>
    <row r="429" spans="1:41" ht="12.75" customHeight="1" x14ac:dyDescent="0.2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  <c r="AO429" s="62"/>
    </row>
    <row r="430" spans="1:41" ht="12.75" customHeight="1" x14ac:dyDescent="0.2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  <c r="AO430" s="62"/>
    </row>
    <row r="431" spans="1:41" ht="12.75" customHeight="1" x14ac:dyDescent="0.2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  <c r="AO431" s="62"/>
    </row>
    <row r="432" spans="1:41" ht="12.75" customHeight="1" x14ac:dyDescent="0.2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  <c r="AO432" s="62"/>
    </row>
    <row r="433" spans="1:41" ht="12.75" customHeight="1" x14ac:dyDescent="0.2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  <c r="AO433" s="62"/>
    </row>
    <row r="434" spans="1:41" ht="12.75" customHeight="1" x14ac:dyDescent="0.2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  <c r="AO434" s="62"/>
    </row>
    <row r="435" spans="1:41" ht="12.75" customHeight="1" x14ac:dyDescent="0.2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  <c r="AO435" s="62"/>
    </row>
    <row r="436" spans="1:41" ht="12.75" customHeight="1" x14ac:dyDescent="0.2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  <c r="AO436" s="62"/>
    </row>
    <row r="437" spans="1:41" ht="12.75" customHeight="1" x14ac:dyDescent="0.2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  <c r="AO437" s="62"/>
    </row>
    <row r="438" spans="1:41" ht="12.75" customHeight="1" x14ac:dyDescent="0.2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  <c r="AO438" s="62"/>
    </row>
    <row r="439" spans="1:41" ht="12.75" customHeight="1" x14ac:dyDescent="0.2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  <c r="AO439" s="62"/>
    </row>
    <row r="440" spans="1:41" ht="12.75" customHeight="1" x14ac:dyDescent="0.2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  <c r="AO440" s="62"/>
    </row>
    <row r="441" spans="1:41" ht="12.75" customHeight="1" x14ac:dyDescent="0.2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  <c r="AO441" s="62"/>
    </row>
    <row r="442" spans="1:41" ht="12.75" customHeight="1" x14ac:dyDescent="0.2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  <c r="AO442" s="62"/>
    </row>
    <row r="443" spans="1:41" ht="12.75" customHeight="1" x14ac:dyDescent="0.2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  <c r="AO443" s="62"/>
    </row>
    <row r="444" spans="1:41" ht="12.75" customHeight="1" x14ac:dyDescent="0.2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  <c r="AO444" s="62"/>
    </row>
    <row r="445" spans="1:41" ht="12.75" customHeight="1" x14ac:dyDescent="0.2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  <c r="AO445" s="62"/>
    </row>
    <row r="446" spans="1:41" ht="12.75" customHeight="1" x14ac:dyDescent="0.2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  <c r="AO446" s="62"/>
    </row>
    <row r="447" spans="1:41" ht="12.75" customHeight="1" x14ac:dyDescent="0.2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  <c r="AO447" s="62"/>
    </row>
    <row r="448" spans="1:41" ht="12.75" customHeight="1" x14ac:dyDescent="0.2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  <c r="AO448" s="62"/>
    </row>
    <row r="449" spans="1:41" ht="12.75" customHeight="1" x14ac:dyDescent="0.2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  <c r="AO449" s="62"/>
    </row>
    <row r="450" spans="1:41" ht="12.75" customHeight="1" x14ac:dyDescent="0.2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  <c r="AO450" s="62"/>
    </row>
    <row r="451" spans="1:41" ht="12.75" customHeight="1" x14ac:dyDescent="0.2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  <c r="AM451" s="62"/>
      <c r="AN451" s="62"/>
      <c r="AO451" s="62"/>
    </row>
    <row r="452" spans="1:41" ht="12.75" customHeight="1" x14ac:dyDescent="0.2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  <c r="AM452" s="62"/>
      <c r="AN452" s="62"/>
      <c r="AO452" s="62"/>
    </row>
    <row r="453" spans="1:41" ht="12.75" customHeight="1" x14ac:dyDescent="0.2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  <c r="AO453" s="62"/>
    </row>
    <row r="454" spans="1:41" ht="12.75" customHeight="1" x14ac:dyDescent="0.2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  <c r="AO454" s="62"/>
    </row>
    <row r="455" spans="1:41" ht="12.75" customHeight="1" x14ac:dyDescent="0.2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  <c r="AO455" s="62"/>
    </row>
    <row r="456" spans="1:41" ht="12.75" customHeight="1" x14ac:dyDescent="0.2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  <c r="AM456" s="62"/>
      <c r="AN456" s="62"/>
      <c r="AO456" s="62"/>
    </row>
    <row r="457" spans="1:41" ht="12.75" customHeight="1" x14ac:dyDescent="0.2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  <c r="AO457" s="62"/>
    </row>
    <row r="458" spans="1:41" ht="12.75" customHeight="1" x14ac:dyDescent="0.2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  <c r="AO458" s="62"/>
    </row>
    <row r="459" spans="1:41" ht="12.75" customHeight="1" x14ac:dyDescent="0.2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  <c r="AO459" s="62"/>
    </row>
    <row r="460" spans="1:41" ht="12.75" customHeight="1" x14ac:dyDescent="0.2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  <c r="AO460" s="62"/>
    </row>
    <row r="461" spans="1:41" ht="12.75" customHeight="1" x14ac:dyDescent="0.2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  <c r="AO461" s="62"/>
    </row>
    <row r="462" spans="1:41" ht="12.75" customHeight="1" x14ac:dyDescent="0.2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  <c r="AM462" s="62"/>
      <c r="AN462" s="62"/>
      <c r="AO462" s="62"/>
    </row>
    <row r="463" spans="1:41" ht="12.75" customHeight="1" x14ac:dyDescent="0.2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  <c r="AM463" s="62"/>
      <c r="AN463" s="62"/>
      <c r="AO463" s="62"/>
    </row>
    <row r="464" spans="1:41" ht="12.75" customHeight="1" x14ac:dyDescent="0.2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  <c r="AO464" s="62"/>
    </row>
    <row r="465" spans="1:41" ht="12.75" customHeight="1" x14ac:dyDescent="0.2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  <c r="AM465" s="62"/>
      <c r="AN465" s="62"/>
      <c r="AO465" s="62"/>
    </row>
    <row r="466" spans="1:41" ht="12.75" customHeight="1" x14ac:dyDescent="0.2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</row>
    <row r="467" spans="1:41" ht="12.75" customHeight="1" x14ac:dyDescent="0.2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</row>
    <row r="468" spans="1:41" ht="12.75" customHeight="1" x14ac:dyDescent="0.2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</row>
    <row r="469" spans="1:41" ht="12.75" customHeight="1" x14ac:dyDescent="0.2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  <c r="AO469" s="62"/>
    </row>
    <row r="470" spans="1:41" ht="12.75" customHeight="1" x14ac:dyDescent="0.2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  <c r="AO470" s="62"/>
    </row>
    <row r="471" spans="1:41" ht="12.75" customHeight="1" x14ac:dyDescent="0.2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  <c r="AM471" s="62"/>
      <c r="AN471" s="62"/>
      <c r="AO471" s="62"/>
    </row>
    <row r="472" spans="1:41" ht="12.75" customHeight="1" x14ac:dyDescent="0.2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  <c r="AM472" s="62"/>
      <c r="AN472" s="62"/>
      <c r="AO472" s="62"/>
    </row>
    <row r="473" spans="1:41" ht="12.75" customHeight="1" x14ac:dyDescent="0.2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  <c r="AO473" s="62"/>
    </row>
    <row r="474" spans="1:41" ht="12.75" customHeight="1" x14ac:dyDescent="0.2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  <c r="AM474" s="62"/>
      <c r="AN474" s="62"/>
      <c r="AO474" s="62"/>
    </row>
    <row r="475" spans="1:41" ht="12.75" customHeight="1" x14ac:dyDescent="0.2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  <c r="AM475" s="62"/>
      <c r="AN475" s="62"/>
      <c r="AO475" s="62"/>
    </row>
    <row r="476" spans="1:41" ht="12.75" customHeight="1" x14ac:dyDescent="0.2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</row>
    <row r="477" spans="1:41" ht="12.75" customHeight="1" x14ac:dyDescent="0.2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</row>
    <row r="478" spans="1:41" ht="12.75" customHeight="1" x14ac:dyDescent="0.2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</row>
    <row r="479" spans="1:41" ht="12.75" customHeight="1" x14ac:dyDescent="0.2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</row>
    <row r="480" spans="1:41" ht="12.75" customHeight="1" x14ac:dyDescent="0.2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</row>
    <row r="481" spans="1:41" ht="12.75" customHeight="1" x14ac:dyDescent="0.2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</row>
    <row r="482" spans="1:41" ht="12.75" customHeight="1" x14ac:dyDescent="0.2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</row>
    <row r="483" spans="1:41" ht="12.75" customHeight="1" x14ac:dyDescent="0.2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</row>
    <row r="484" spans="1:41" ht="12.75" customHeight="1" x14ac:dyDescent="0.2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</row>
    <row r="485" spans="1:41" ht="12.75" customHeight="1" x14ac:dyDescent="0.2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</row>
    <row r="486" spans="1:41" ht="12.75" customHeight="1" x14ac:dyDescent="0.2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</row>
    <row r="487" spans="1:41" ht="12.75" customHeight="1" x14ac:dyDescent="0.2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</row>
    <row r="488" spans="1:41" ht="12.75" customHeight="1" x14ac:dyDescent="0.2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</row>
    <row r="489" spans="1:41" ht="12.75" customHeight="1" x14ac:dyDescent="0.2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</row>
    <row r="490" spans="1:41" ht="12.75" customHeight="1" x14ac:dyDescent="0.2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  <c r="AM490" s="62"/>
      <c r="AN490" s="62"/>
      <c r="AO490" s="62"/>
    </row>
    <row r="491" spans="1:41" ht="12.75" customHeight="1" x14ac:dyDescent="0.2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  <c r="AM491" s="62"/>
      <c r="AN491" s="62"/>
      <c r="AO491" s="62"/>
    </row>
    <row r="492" spans="1:41" ht="12.75" customHeight="1" x14ac:dyDescent="0.2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  <c r="AO492" s="62"/>
    </row>
    <row r="493" spans="1:41" ht="12.75" customHeight="1" x14ac:dyDescent="0.2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  <c r="AM493" s="62"/>
      <c r="AN493" s="62"/>
      <c r="AO493" s="62"/>
    </row>
    <row r="494" spans="1:41" ht="12.75" customHeight="1" x14ac:dyDescent="0.2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  <c r="AO494" s="62"/>
    </row>
    <row r="495" spans="1:41" ht="12.75" customHeight="1" x14ac:dyDescent="0.2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  <c r="AM495" s="62"/>
      <c r="AN495" s="62"/>
      <c r="AO495" s="62"/>
    </row>
    <row r="496" spans="1:41" ht="12.75" customHeight="1" x14ac:dyDescent="0.2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</row>
    <row r="497" spans="1:41" ht="12.75" customHeight="1" x14ac:dyDescent="0.2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</row>
    <row r="498" spans="1:41" ht="12.75" customHeight="1" x14ac:dyDescent="0.2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</row>
    <row r="499" spans="1:41" ht="12.75" customHeight="1" x14ac:dyDescent="0.2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</row>
    <row r="500" spans="1:41" ht="12.75" customHeight="1" x14ac:dyDescent="0.2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</row>
    <row r="501" spans="1:41" ht="12.75" customHeight="1" x14ac:dyDescent="0.2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</row>
    <row r="502" spans="1:41" ht="12.75" customHeight="1" x14ac:dyDescent="0.2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</row>
    <row r="503" spans="1:41" ht="12.75" customHeight="1" x14ac:dyDescent="0.2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</row>
    <row r="504" spans="1:41" ht="12.75" customHeight="1" x14ac:dyDescent="0.2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</row>
    <row r="505" spans="1:41" ht="12.75" customHeight="1" x14ac:dyDescent="0.2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</row>
    <row r="506" spans="1:41" ht="12.75" customHeight="1" x14ac:dyDescent="0.2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</row>
    <row r="507" spans="1:41" ht="12.75" customHeight="1" x14ac:dyDescent="0.2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</row>
    <row r="508" spans="1:41" ht="12.75" customHeight="1" x14ac:dyDescent="0.2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</row>
    <row r="509" spans="1:41" ht="12.75" customHeight="1" x14ac:dyDescent="0.2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</row>
    <row r="510" spans="1:41" ht="12.75" customHeight="1" x14ac:dyDescent="0.2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</row>
    <row r="511" spans="1:41" ht="12.75" customHeight="1" x14ac:dyDescent="0.2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</row>
    <row r="512" spans="1:41" ht="12.75" customHeight="1" x14ac:dyDescent="0.2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</row>
    <row r="513" spans="1:41" ht="12.75" customHeight="1" x14ac:dyDescent="0.2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</row>
    <row r="514" spans="1:41" ht="12.75" customHeight="1" x14ac:dyDescent="0.2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</row>
    <row r="515" spans="1:41" ht="12.75" customHeight="1" x14ac:dyDescent="0.2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</row>
    <row r="516" spans="1:41" ht="12.75" customHeight="1" x14ac:dyDescent="0.2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</row>
    <row r="517" spans="1:41" ht="12.75" customHeight="1" x14ac:dyDescent="0.2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</row>
    <row r="518" spans="1:41" ht="12.75" customHeight="1" x14ac:dyDescent="0.2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</row>
    <row r="519" spans="1:41" ht="12.75" customHeight="1" x14ac:dyDescent="0.2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</row>
    <row r="520" spans="1:41" ht="12.75" customHeight="1" x14ac:dyDescent="0.2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</row>
    <row r="521" spans="1:41" ht="12.75" customHeight="1" x14ac:dyDescent="0.2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</row>
    <row r="522" spans="1:41" ht="12.75" customHeight="1" x14ac:dyDescent="0.2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</row>
    <row r="523" spans="1:41" ht="12.75" customHeight="1" x14ac:dyDescent="0.2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</row>
    <row r="524" spans="1:41" ht="12.75" customHeight="1" x14ac:dyDescent="0.2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</row>
    <row r="525" spans="1:41" ht="12.75" customHeight="1" x14ac:dyDescent="0.2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</row>
    <row r="526" spans="1:41" ht="12.75" customHeight="1" x14ac:dyDescent="0.2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</row>
    <row r="527" spans="1:41" ht="12.75" customHeight="1" x14ac:dyDescent="0.2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</row>
    <row r="528" spans="1:41" ht="12.75" customHeight="1" x14ac:dyDescent="0.2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</row>
    <row r="529" spans="1:41" ht="12.75" customHeight="1" x14ac:dyDescent="0.2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</row>
    <row r="530" spans="1:41" ht="12.75" customHeight="1" x14ac:dyDescent="0.2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</row>
    <row r="531" spans="1:41" ht="12.75" customHeight="1" x14ac:dyDescent="0.2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</row>
    <row r="532" spans="1:41" ht="12.75" customHeight="1" x14ac:dyDescent="0.2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</row>
    <row r="533" spans="1:41" ht="12.75" customHeight="1" x14ac:dyDescent="0.2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</row>
    <row r="534" spans="1:41" ht="12.75" customHeight="1" x14ac:dyDescent="0.2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</row>
    <row r="535" spans="1:41" ht="12.75" customHeight="1" x14ac:dyDescent="0.2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</row>
    <row r="536" spans="1:41" ht="12.75" customHeight="1" x14ac:dyDescent="0.2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</row>
    <row r="537" spans="1:41" ht="12.75" customHeight="1" x14ac:dyDescent="0.2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</row>
    <row r="538" spans="1:41" ht="12.75" customHeight="1" x14ac:dyDescent="0.2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</row>
    <row r="539" spans="1:41" ht="12.75" customHeight="1" x14ac:dyDescent="0.2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</row>
    <row r="540" spans="1:41" ht="12.75" customHeight="1" x14ac:dyDescent="0.2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</row>
    <row r="541" spans="1:41" ht="12.75" customHeight="1" x14ac:dyDescent="0.2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</row>
    <row r="542" spans="1:41" ht="12.75" customHeight="1" x14ac:dyDescent="0.2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</row>
    <row r="543" spans="1:41" ht="12.75" customHeight="1" x14ac:dyDescent="0.2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</row>
    <row r="544" spans="1:41" ht="12.75" customHeight="1" x14ac:dyDescent="0.2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</row>
    <row r="545" spans="1:41" ht="12.75" customHeight="1" x14ac:dyDescent="0.2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</row>
    <row r="546" spans="1:41" ht="12.75" customHeight="1" x14ac:dyDescent="0.2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</row>
    <row r="547" spans="1:41" ht="12.75" customHeight="1" x14ac:dyDescent="0.2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</row>
    <row r="548" spans="1:41" ht="12.75" customHeight="1" x14ac:dyDescent="0.2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</row>
    <row r="549" spans="1:41" ht="12.75" customHeight="1" x14ac:dyDescent="0.2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</row>
    <row r="550" spans="1:41" ht="12.75" customHeight="1" x14ac:dyDescent="0.2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</row>
    <row r="551" spans="1:41" ht="12.75" customHeight="1" x14ac:dyDescent="0.2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</row>
    <row r="552" spans="1:41" ht="12.75" customHeight="1" x14ac:dyDescent="0.2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</row>
    <row r="553" spans="1:41" ht="12.75" customHeight="1" x14ac:dyDescent="0.2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</row>
    <row r="554" spans="1:41" ht="12.75" customHeight="1" x14ac:dyDescent="0.2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</row>
    <row r="555" spans="1:41" ht="12.75" customHeight="1" x14ac:dyDescent="0.2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</row>
    <row r="556" spans="1:41" ht="12.75" customHeight="1" x14ac:dyDescent="0.2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</row>
    <row r="557" spans="1:41" ht="12.75" customHeight="1" x14ac:dyDescent="0.2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</row>
    <row r="558" spans="1:41" ht="12.75" customHeight="1" x14ac:dyDescent="0.2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</row>
    <row r="559" spans="1:41" ht="12.75" customHeight="1" x14ac:dyDescent="0.2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</row>
    <row r="560" spans="1:41" ht="12.75" customHeight="1" x14ac:dyDescent="0.2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</row>
    <row r="561" spans="1:41" ht="12.75" customHeight="1" x14ac:dyDescent="0.2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</row>
    <row r="562" spans="1:41" ht="12.75" customHeight="1" x14ac:dyDescent="0.2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</row>
    <row r="563" spans="1:41" ht="12.75" customHeight="1" x14ac:dyDescent="0.2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</row>
    <row r="564" spans="1:41" ht="12.75" customHeight="1" x14ac:dyDescent="0.2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</row>
    <row r="565" spans="1:41" ht="12.75" customHeight="1" x14ac:dyDescent="0.2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</row>
    <row r="566" spans="1:41" ht="12.75" customHeight="1" x14ac:dyDescent="0.2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</row>
    <row r="567" spans="1:41" ht="12.75" customHeight="1" x14ac:dyDescent="0.2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</row>
    <row r="568" spans="1:41" ht="12.75" customHeight="1" x14ac:dyDescent="0.2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</row>
    <row r="569" spans="1:41" ht="12.75" customHeight="1" x14ac:dyDescent="0.2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</row>
    <row r="570" spans="1:41" ht="12.75" customHeight="1" x14ac:dyDescent="0.2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</row>
    <row r="571" spans="1:41" ht="12.75" customHeight="1" x14ac:dyDescent="0.2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</row>
    <row r="572" spans="1:41" ht="12.75" customHeight="1" x14ac:dyDescent="0.2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</row>
    <row r="573" spans="1:41" ht="12.75" customHeight="1" x14ac:dyDescent="0.2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</row>
    <row r="574" spans="1:41" ht="12.75" customHeight="1" x14ac:dyDescent="0.2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</row>
    <row r="575" spans="1:41" ht="12.75" customHeight="1" x14ac:dyDescent="0.2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</row>
    <row r="576" spans="1:41" ht="12.75" customHeight="1" x14ac:dyDescent="0.2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</row>
    <row r="577" spans="1:41" ht="12.75" customHeight="1" x14ac:dyDescent="0.2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</row>
    <row r="578" spans="1:41" ht="12.75" customHeight="1" x14ac:dyDescent="0.2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</row>
    <row r="579" spans="1:41" ht="12.75" customHeight="1" x14ac:dyDescent="0.2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</row>
    <row r="580" spans="1:41" ht="12.75" customHeight="1" x14ac:dyDescent="0.2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</row>
    <row r="581" spans="1:41" ht="12.75" customHeight="1" x14ac:dyDescent="0.2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</row>
    <row r="582" spans="1:41" ht="12.75" customHeight="1" x14ac:dyDescent="0.2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</row>
    <row r="583" spans="1:41" ht="12.75" customHeight="1" x14ac:dyDescent="0.2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</row>
    <row r="584" spans="1:41" ht="12.75" customHeight="1" x14ac:dyDescent="0.2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</row>
    <row r="585" spans="1:41" ht="12.75" customHeight="1" x14ac:dyDescent="0.2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</row>
    <row r="586" spans="1:41" ht="12.75" customHeight="1" x14ac:dyDescent="0.2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</row>
    <row r="587" spans="1:41" ht="12.75" customHeight="1" x14ac:dyDescent="0.2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</row>
    <row r="588" spans="1:41" ht="12.75" customHeight="1" x14ac:dyDescent="0.2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</row>
    <row r="589" spans="1:41" ht="12.75" customHeight="1" x14ac:dyDescent="0.2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</row>
    <row r="590" spans="1:41" ht="12.75" customHeight="1" x14ac:dyDescent="0.2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</row>
    <row r="591" spans="1:41" ht="12.75" customHeight="1" x14ac:dyDescent="0.2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</row>
    <row r="592" spans="1:41" ht="12.75" customHeight="1" x14ac:dyDescent="0.2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</row>
    <row r="593" spans="1:41" ht="12.75" customHeight="1" x14ac:dyDescent="0.2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</row>
    <row r="594" spans="1:41" ht="12.75" customHeight="1" x14ac:dyDescent="0.2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</row>
    <row r="595" spans="1:41" ht="12.75" customHeight="1" x14ac:dyDescent="0.2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</row>
    <row r="596" spans="1:41" ht="12.75" customHeight="1" x14ac:dyDescent="0.2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</row>
    <row r="597" spans="1:41" ht="12.75" customHeight="1" x14ac:dyDescent="0.2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</row>
    <row r="598" spans="1:41" ht="12.75" customHeight="1" x14ac:dyDescent="0.2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</row>
    <row r="599" spans="1:41" ht="12.75" customHeight="1" x14ac:dyDescent="0.2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</row>
    <row r="600" spans="1:41" ht="12.75" customHeight="1" x14ac:dyDescent="0.2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</row>
    <row r="601" spans="1:41" ht="12.75" customHeight="1" x14ac:dyDescent="0.2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</row>
    <row r="602" spans="1:41" ht="12.75" customHeight="1" x14ac:dyDescent="0.2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</row>
    <row r="603" spans="1:41" ht="12.75" customHeight="1" x14ac:dyDescent="0.2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</row>
    <row r="604" spans="1:41" ht="12.75" customHeight="1" x14ac:dyDescent="0.2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</row>
    <row r="605" spans="1:41" ht="12.75" customHeight="1" x14ac:dyDescent="0.2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</row>
    <row r="606" spans="1:41" ht="12.75" customHeight="1" x14ac:dyDescent="0.2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</row>
    <row r="607" spans="1:41" ht="12.75" customHeight="1" x14ac:dyDescent="0.2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</row>
    <row r="608" spans="1:41" ht="12.75" customHeight="1" x14ac:dyDescent="0.2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</row>
    <row r="609" spans="1:41" ht="12.75" customHeight="1" x14ac:dyDescent="0.2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</row>
    <row r="610" spans="1:41" ht="12.75" customHeight="1" x14ac:dyDescent="0.2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</row>
    <row r="611" spans="1:41" ht="12.75" customHeight="1" x14ac:dyDescent="0.2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</row>
    <row r="612" spans="1:41" ht="12.75" customHeight="1" x14ac:dyDescent="0.2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41" ht="12.75" customHeight="1" x14ac:dyDescent="0.2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</row>
    <row r="614" spans="1:41" ht="12.75" customHeight="1" x14ac:dyDescent="0.2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</row>
    <row r="615" spans="1:41" ht="12.75" customHeight="1" x14ac:dyDescent="0.2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</row>
    <row r="616" spans="1:41" ht="12.75" customHeight="1" x14ac:dyDescent="0.2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</row>
    <row r="617" spans="1:41" ht="12.75" customHeight="1" x14ac:dyDescent="0.2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</row>
    <row r="618" spans="1:41" ht="12.75" customHeight="1" x14ac:dyDescent="0.2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</row>
    <row r="619" spans="1:41" ht="12.75" customHeight="1" x14ac:dyDescent="0.2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</row>
    <row r="620" spans="1:41" ht="12.75" customHeight="1" x14ac:dyDescent="0.2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</row>
    <row r="621" spans="1:41" ht="12.75" customHeight="1" x14ac:dyDescent="0.2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</row>
    <row r="622" spans="1:41" ht="12.75" customHeight="1" x14ac:dyDescent="0.2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</row>
    <row r="623" spans="1:41" ht="12.75" customHeight="1" x14ac:dyDescent="0.2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</row>
    <row r="624" spans="1:41" ht="12.75" customHeight="1" x14ac:dyDescent="0.2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</row>
    <row r="625" spans="1:41" ht="12.75" customHeight="1" x14ac:dyDescent="0.2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</row>
    <row r="626" spans="1:41" ht="12.75" customHeight="1" x14ac:dyDescent="0.2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</row>
    <row r="627" spans="1:41" ht="12.75" customHeight="1" x14ac:dyDescent="0.2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</row>
    <row r="628" spans="1:41" ht="12.75" customHeight="1" x14ac:dyDescent="0.2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</row>
    <row r="629" spans="1:41" ht="12.75" customHeight="1" x14ac:dyDescent="0.2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</row>
    <row r="630" spans="1:41" ht="12.75" customHeight="1" x14ac:dyDescent="0.2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</row>
    <row r="631" spans="1:41" ht="12.75" customHeight="1" x14ac:dyDescent="0.2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</row>
    <row r="632" spans="1:41" ht="12.75" customHeight="1" x14ac:dyDescent="0.2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</row>
    <row r="633" spans="1:41" ht="12.75" customHeight="1" x14ac:dyDescent="0.2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</row>
    <row r="634" spans="1:41" ht="12.75" customHeight="1" x14ac:dyDescent="0.2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</row>
    <row r="635" spans="1:41" ht="12.75" customHeight="1" x14ac:dyDescent="0.2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</row>
    <row r="636" spans="1:41" ht="12.75" customHeight="1" x14ac:dyDescent="0.2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</row>
    <row r="637" spans="1:41" ht="12.75" customHeight="1" x14ac:dyDescent="0.2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</row>
    <row r="638" spans="1:41" ht="12.75" customHeight="1" x14ac:dyDescent="0.2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</row>
    <row r="639" spans="1:41" ht="12.75" customHeight="1" x14ac:dyDescent="0.2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</row>
    <row r="640" spans="1:41" ht="12.75" customHeight="1" x14ac:dyDescent="0.2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</row>
    <row r="641" spans="1:41" ht="12.75" customHeight="1" x14ac:dyDescent="0.2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</row>
    <row r="642" spans="1:41" ht="12.75" customHeight="1" x14ac:dyDescent="0.2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</row>
    <row r="643" spans="1:41" ht="12.75" customHeight="1" x14ac:dyDescent="0.2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</row>
    <row r="644" spans="1:41" ht="12.75" customHeight="1" x14ac:dyDescent="0.2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</row>
    <row r="645" spans="1:41" ht="12.75" customHeight="1" x14ac:dyDescent="0.2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</row>
    <row r="646" spans="1:41" ht="12.75" customHeight="1" x14ac:dyDescent="0.2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</row>
    <row r="647" spans="1:41" ht="12.75" customHeight="1" x14ac:dyDescent="0.2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</row>
    <row r="648" spans="1:41" ht="12.75" customHeight="1" x14ac:dyDescent="0.2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</row>
    <row r="649" spans="1:41" ht="12.75" customHeight="1" x14ac:dyDescent="0.2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</row>
    <row r="650" spans="1:41" ht="12.75" customHeight="1" x14ac:dyDescent="0.2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</row>
    <row r="651" spans="1:41" ht="12.75" customHeight="1" x14ac:dyDescent="0.2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</row>
    <row r="652" spans="1:41" ht="12.75" customHeight="1" x14ac:dyDescent="0.2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</row>
    <row r="653" spans="1:41" ht="12.75" customHeight="1" x14ac:dyDescent="0.2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</row>
    <row r="654" spans="1:41" ht="12.75" customHeight="1" x14ac:dyDescent="0.2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</row>
    <row r="655" spans="1:41" ht="12.75" customHeight="1" x14ac:dyDescent="0.2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</row>
    <row r="656" spans="1:41" ht="12.75" customHeight="1" x14ac:dyDescent="0.2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</row>
    <row r="657" spans="1:41" ht="12.75" customHeight="1" x14ac:dyDescent="0.2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</row>
    <row r="658" spans="1:41" ht="12.75" customHeight="1" x14ac:dyDescent="0.2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62"/>
      <c r="AH658" s="62"/>
      <c r="AI658" s="62"/>
      <c r="AJ658" s="62"/>
      <c r="AK658" s="62"/>
      <c r="AL658" s="62"/>
      <c r="AM658" s="62"/>
      <c r="AN658" s="62"/>
      <c r="AO658" s="62"/>
    </row>
    <row r="659" spans="1:41" ht="12.75" customHeight="1" x14ac:dyDescent="0.2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62"/>
      <c r="AH659" s="62"/>
      <c r="AI659" s="62"/>
      <c r="AJ659" s="62"/>
      <c r="AK659" s="62"/>
      <c r="AL659" s="62"/>
      <c r="AM659" s="62"/>
      <c r="AN659" s="62"/>
      <c r="AO659" s="62"/>
    </row>
    <row r="660" spans="1:41" ht="12.75" customHeight="1" x14ac:dyDescent="0.2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62"/>
      <c r="AH660" s="62"/>
      <c r="AI660" s="62"/>
      <c r="AJ660" s="62"/>
      <c r="AK660" s="62"/>
      <c r="AL660" s="62"/>
      <c r="AM660" s="62"/>
      <c r="AN660" s="62"/>
      <c r="AO660" s="62"/>
    </row>
    <row r="661" spans="1:41" ht="12.75" customHeight="1" x14ac:dyDescent="0.2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62"/>
      <c r="AH661" s="62"/>
      <c r="AI661" s="62"/>
      <c r="AJ661" s="62"/>
      <c r="AK661" s="62"/>
      <c r="AL661" s="62"/>
      <c r="AM661" s="62"/>
      <c r="AN661" s="62"/>
      <c r="AO661" s="62"/>
    </row>
    <row r="662" spans="1:41" ht="12.75" customHeight="1" x14ac:dyDescent="0.2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62"/>
      <c r="AH662" s="62"/>
      <c r="AI662" s="62"/>
      <c r="AJ662" s="62"/>
      <c r="AK662" s="62"/>
      <c r="AL662" s="62"/>
      <c r="AM662" s="62"/>
      <c r="AN662" s="62"/>
      <c r="AO662" s="62"/>
    </row>
    <row r="663" spans="1:41" ht="12.75" customHeight="1" x14ac:dyDescent="0.2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62"/>
      <c r="AH663" s="62"/>
      <c r="AI663" s="62"/>
      <c r="AJ663" s="62"/>
      <c r="AK663" s="62"/>
      <c r="AL663" s="62"/>
      <c r="AM663" s="62"/>
      <c r="AN663" s="62"/>
      <c r="AO663" s="62"/>
    </row>
    <row r="664" spans="1:41" ht="12.75" customHeight="1" x14ac:dyDescent="0.2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62"/>
      <c r="AH664" s="62"/>
      <c r="AI664" s="62"/>
      <c r="AJ664" s="62"/>
      <c r="AK664" s="62"/>
      <c r="AL664" s="62"/>
      <c r="AM664" s="62"/>
      <c r="AN664" s="62"/>
      <c r="AO664" s="62"/>
    </row>
    <row r="665" spans="1:41" ht="12.75" customHeight="1" x14ac:dyDescent="0.2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  <c r="AM665" s="62"/>
      <c r="AN665" s="62"/>
      <c r="AO665" s="62"/>
    </row>
    <row r="666" spans="1:41" ht="12.75" customHeight="1" x14ac:dyDescent="0.2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  <c r="AM666" s="62"/>
      <c r="AN666" s="62"/>
      <c r="AO666" s="62"/>
    </row>
    <row r="667" spans="1:41" ht="12.75" customHeight="1" x14ac:dyDescent="0.2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62"/>
      <c r="AH667" s="62"/>
      <c r="AI667" s="62"/>
      <c r="AJ667" s="62"/>
      <c r="AK667" s="62"/>
      <c r="AL667" s="62"/>
      <c r="AM667" s="62"/>
      <c r="AN667" s="62"/>
      <c r="AO667" s="62"/>
    </row>
    <row r="668" spans="1:41" ht="12.75" customHeight="1" x14ac:dyDescent="0.2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  <c r="AM668" s="62"/>
      <c r="AN668" s="62"/>
      <c r="AO668" s="62"/>
    </row>
    <row r="669" spans="1:41" ht="12.75" customHeight="1" x14ac:dyDescent="0.2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  <c r="AM669" s="62"/>
      <c r="AN669" s="62"/>
      <c r="AO669" s="62"/>
    </row>
    <row r="670" spans="1:41" ht="12.75" customHeight="1" x14ac:dyDescent="0.2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  <c r="AM670" s="62"/>
      <c r="AN670" s="62"/>
      <c r="AO670" s="62"/>
    </row>
    <row r="671" spans="1:41" ht="12.75" customHeight="1" x14ac:dyDescent="0.2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62"/>
      <c r="AH671" s="62"/>
      <c r="AI671" s="62"/>
      <c r="AJ671" s="62"/>
      <c r="AK671" s="62"/>
      <c r="AL671" s="62"/>
      <c r="AM671" s="62"/>
      <c r="AN671" s="62"/>
      <c r="AO671" s="62"/>
    </row>
    <row r="672" spans="1:41" ht="12.75" customHeight="1" x14ac:dyDescent="0.2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  <c r="AM672" s="62"/>
      <c r="AN672" s="62"/>
      <c r="AO672" s="62"/>
    </row>
    <row r="673" spans="1:41" ht="12.75" customHeight="1" x14ac:dyDescent="0.2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  <c r="AO673" s="62"/>
    </row>
    <row r="674" spans="1:41" ht="12.75" customHeight="1" x14ac:dyDescent="0.2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62"/>
      <c r="AH674" s="62"/>
      <c r="AI674" s="62"/>
      <c r="AJ674" s="62"/>
      <c r="AK674" s="62"/>
      <c r="AL674" s="62"/>
      <c r="AM674" s="62"/>
      <c r="AN674" s="62"/>
      <c r="AO674" s="62"/>
    </row>
    <row r="675" spans="1:41" ht="12.75" customHeight="1" x14ac:dyDescent="0.2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  <c r="AM675" s="62"/>
      <c r="AN675" s="62"/>
      <c r="AO675" s="62"/>
    </row>
    <row r="676" spans="1:41" ht="12.75" customHeight="1" x14ac:dyDescent="0.2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  <c r="AM676" s="62"/>
      <c r="AN676" s="62"/>
      <c r="AO676" s="62"/>
    </row>
    <row r="677" spans="1:41" ht="12.75" customHeight="1" x14ac:dyDescent="0.2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  <c r="AM677" s="62"/>
      <c r="AN677" s="62"/>
      <c r="AO677" s="62"/>
    </row>
    <row r="678" spans="1:41" ht="12.75" customHeight="1" x14ac:dyDescent="0.2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62"/>
      <c r="AH678" s="62"/>
      <c r="AI678" s="62"/>
      <c r="AJ678" s="62"/>
      <c r="AK678" s="62"/>
      <c r="AL678" s="62"/>
      <c r="AM678" s="62"/>
      <c r="AN678" s="62"/>
      <c r="AO678" s="62"/>
    </row>
    <row r="679" spans="1:41" ht="12.75" customHeight="1" x14ac:dyDescent="0.2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  <c r="AM679" s="62"/>
      <c r="AN679" s="62"/>
      <c r="AO679" s="62"/>
    </row>
    <row r="680" spans="1:41" ht="12.75" customHeight="1" x14ac:dyDescent="0.2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62"/>
      <c r="AH680" s="62"/>
      <c r="AI680" s="62"/>
      <c r="AJ680" s="62"/>
      <c r="AK680" s="62"/>
      <c r="AL680" s="62"/>
      <c r="AM680" s="62"/>
      <c r="AN680" s="62"/>
      <c r="AO680" s="62"/>
    </row>
    <row r="681" spans="1:41" ht="12.75" customHeight="1" x14ac:dyDescent="0.2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  <c r="AM681" s="62"/>
      <c r="AN681" s="62"/>
      <c r="AO681" s="62"/>
    </row>
    <row r="682" spans="1:41" ht="12.75" customHeight="1" x14ac:dyDescent="0.2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  <c r="AM682" s="62"/>
      <c r="AN682" s="62"/>
      <c r="AO682" s="62"/>
    </row>
    <row r="683" spans="1:41" ht="12.75" customHeight="1" x14ac:dyDescent="0.2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  <c r="AM683" s="62"/>
      <c r="AN683" s="62"/>
      <c r="AO683" s="62"/>
    </row>
    <row r="684" spans="1:41" ht="12.75" customHeight="1" x14ac:dyDescent="0.2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62"/>
      <c r="AH684" s="62"/>
      <c r="AI684" s="62"/>
      <c r="AJ684" s="62"/>
      <c r="AK684" s="62"/>
      <c r="AL684" s="62"/>
      <c r="AM684" s="62"/>
      <c r="AN684" s="62"/>
      <c r="AO684" s="62"/>
    </row>
    <row r="685" spans="1:41" ht="12.75" customHeight="1" x14ac:dyDescent="0.2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  <c r="AM685" s="62"/>
      <c r="AN685" s="62"/>
      <c r="AO685" s="62"/>
    </row>
    <row r="686" spans="1:41" ht="12.75" customHeight="1" x14ac:dyDescent="0.2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  <c r="AM686" s="62"/>
      <c r="AN686" s="62"/>
      <c r="AO686" s="62"/>
    </row>
    <row r="687" spans="1:41" ht="12.75" customHeight="1" x14ac:dyDescent="0.2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2"/>
      <c r="AJ687" s="62"/>
      <c r="AK687" s="62"/>
      <c r="AL687" s="62"/>
      <c r="AM687" s="62"/>
      <c r="AN687" s="62"/>
      <c r="AO687" s="62"/>
    </row>
    <row r="688" spans="1:41" ht="12.75" customHeight="1" x14ac:dyDescent="0.2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  <c r="AO688" s="62"/>
    </row>
    <row r="689" spans="1:41" ht="12.75" customHeight="1" x14ac:dyDescent="0.2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  <c r="AM689" s="62"/>
      <c r="AN689" s="62"/>
      <c r="AO689" s="62"/>
    </row>
    <row r="690" spans="1:41" ht="12.75" customHeight="1" x14ac:dyDescent="0.2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  <c r="AO690" s="62"/>
    </row>
    <row r="691" spans="1:41" ht="12.75" customHeight="1" x14ac:dyDescent="0.2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  <c r="AM691" s="62"/>
      <c r="AN691" s="62"/>
      <c r="AO691" s="62"/>
    </row>
    <row r="692" spans="1:41" ht="12.75" customHeight="1" x14ac:dyDescent="0.2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  <c r="AM692" s="62"/>
      <c r="AN692" s="62"/>
      <c r="AO692" s="62"/>
    </row>
    <row r="693" spans="1:41" ht="12.75" customHeight="1" x14ac:dyDescent="0.2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  <c r="AM693" s="62"/>
      <c r="AN693" s="62"/>
      <c r="AO693" s="62"/>
    </row>
    <row r="694" spans="1:41" ht="12.75" customHeight="1" x14ac:dyDescent="0.2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  <c r="AO694" s="62"/>
    </row>
    <row r="695" spans="1:41" ht="12.75" customHeight="1" x14ac:dyDescent="0.2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  <c r="AO695" s="62"/>
    </row>
    <row r="696" spans="1:41" ht="12.75" customHeight="1" x14ac:dyDescent="0.2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  <c r="AM696" s="62"/>
      <c r="AN696" s="62"/>
      <c r="AO696" s="62"/>
    </row>
    <row r="697" spans="1:41" ht="12.75" customHeight="1" x14ac:dyDescent="0.2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  <c r="AM697" s="62"/>
      <c r="AN697" s="62"/>
      <c r="AO697" s="62"/>
    </row>
    <row r="698" spans="1:41" ht="12.75" customHeight="1" x14ac:dyDescent="0.2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  <c r="AM698" s="62"/>
      <c r="AN698" s="62"/>
      <c r="AO698" s="62"/>
    </row>
    <row r="699" spans="1:41" ht="12.75" customHeight="1" x14ac:dyDescent="0.2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  <c r="AM699" s="62"/>
      <c r="AN699" s="62"/>
      <c r="AO699" s="62"/>
    </row>
    <row r="700" spans="1:41" ht="12.75" customHeight="1" x14ac:dyDescent="0.2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  <c r="AM700" s="62"/>
      <c r="AN700" s="62"/>
      <c r="AO700" s="62"/>
    </row>
    <row r="701" spans="1:41" ht="12.75" customHeight="1" x14ac:dyDescent="0.2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  <c r="AO701" s="62"/>
    </row>
    <row r="702" spans="1:41" ht="12.75" customHeight="1" x14ac:dyDescent="0.2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  <c r="AO702" s="62"/>
    </row>
    <row r="703" spans="1:41" ht="12.75" customHeight="1" x14ac:dyDescent="0.2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  <c r="AM703" s="62"/>
      <c r="AN703" s="62"/>
      <c r="AO703" s="62"/>
    </row>
    <row r="704" spans="1:41" ht="12.75" customHeight="1" x14ac:dyDescent="0.2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  <c r="AM704" s="62"/>
      <c r="AN704" s="62"/>
      <c r="AO704" s="62"/>
    </row>
    <row r="705" spans="1:41" ht="12.75" customHeight="1" x14ac:dyDescent="0.2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  <c r="AM705" s="62"/>
      <c r="AN705" s="62"/>
      <c r="AO705" s="62"/>
    </row>
    <row r="706" spans="1:41" ht="12.75" customHeight="1" x14ac:dyDescent="0.2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  <c r="AM706" s="62"/>
      <c r="AN706" s="62"/>
      <c r="AO706" s="62"/>
    </row>
    <row r="707" spans="1:41" ht="12.75" customHeight="1" x14ac:dyDescent="0.2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  <c r="AM707" s="62"/>
      <c r="AN707" s="62"/>
      <c r="AO707" s="62"/>
    </row>
    <row r="708" spans="1:41" ht="12.75" customHeight="1" x14ac:dyDescent="0.2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  <c r="AM708" s="62"/>
      <c r="AN708" s="62"/>
      <c r="AO708" s="62"/>
    </row>
    <row r="709" spans="1:41" ht="12.75" customHeight="1" x14ac:dyDescent="0.2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  <c r="AM709" s="62"/>
      <c r="AN709" s="62"/>
      <c r="AO709" s="62"/>
    </row>
    <row r="710" spans="1:41" ht="12.75" customHeight="1" x14ac:dyDescent="0.2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  <c r="AM710" s="62"/>
      <c r="AN710" s="62"/>
      <c r="AO710" s="62"/>
    </row>
    <row r="711" spans="1:41" ht="12.75" customHeight="1" x14ac:dyDescent="0.2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  <c r="AM711" s="62"/>
      <c r="AN711" s="62"/>
      <c r="AO711" s="62"/>
    </row>
    <row r="712" spans="1:41" ht="12.75" customHeight="1" x14ac:dyDescent="0.2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  <c r="AM712" s="62"/>
      <c r="AN712" s="62"/>
      <c r="AO712" s="62"/>
    </row>
    <row r="713" spans="1:41" ht="12.75" customHeight="1" x14ac:dyDescent="0.2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  <c r="AM713" s="62"/>
      <c r="AN713" s="62"/>
      <c r="AO713" s="62"/>
    </row>
    <row r="714" spans="1:41" ht="12.75" customHeight="1" x14ac:dyDescent="0.2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  <c r="AO714" s="62"/>
    </row>
    <row r="715" spans="1:41" ht="12.75" customHeight="1" x14ac:dyDescent="0.2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/>
      <c r="AI715" s="62"/>
      <c r="AJ715" s="62"/>
      <c r="AK715" s="62"/>
      <c r="AL715" s="62"/>
      <c r="AM715" s="62"/>
      <c r="AN715" s="62"/>
      <c r="AO715" s="62"/>
    </row>
    <row r="716" spans="1:41" ht="12.75" customHeight="1" x14ac:dyDescent="0.2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  <c r="AM716" s="62"/>
      <c r="AN716" s="62"/>
      <c r="AO716" s="62"/>
    </row>
    <row r="717" spans="1:41" ht="12.75" customHeight="1" x14ac:dyDescent="0.2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  <c r="AM717" s="62"/>
      <c r="AN717" s="62"/>
      <c r="AO717" s="62"/>
    </row>
    <row r="718" spans="1:41" ht="12.75" customHeight="1" x14ac:dyDescent="0.2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  <c r="AM718" s="62"/>
      <c r="AN718" s="62"/>
      <c r="AO718" s="62"/>
    </row>
    <row r="719" spans="1:41" ht="12.75" customHeight="1" x14ac:dyDescent="0.2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  <c r="AM719" s="62"/>
      <c r="AN719" s="62"/>
      <c r="AO719" s="62"/>
    </row>
    <row r="720" spans="1:41" ht="12.75" customHeight="1" x14ac:dyDescent="0.2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  <c r="AM720" s="62"/>
      <c r="AN720" s="62"/>
      <c r="AO720" s="62"/>
    </row>
    <row r="721" spans="1:41" ht="12.75" customHeight="1" x14ac:dyDescent="0.2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  <c r="AM721" s="62"/>
      <c r="AN721" s="62"/>
      <c r="AO721" s="62"/>
    </row>
    <row r="722" spans="1:41" ht="12.75" customHeight="1" x14ac:dyDescent="0.2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  <c r="AM722" s="62"/>
      <c r="AN722" s="62"/>
      <c r="AO722" s="62"/>
    </row>
    <row r="723" spans="1:41" ht="12.75" customHeight="1" x14ac:dyDescent="0.2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/>
      <c r="AI723" s="62"/>
      <c r="AJ723" s="62"/>
      <c r="AK723" s="62"/>
      <c r="AL723" s="62"/>
      <c r="AM723" s="62"/>
      <c r="AN723" s="62"/>
      <c r="AO723" s="62"/>
    </row>
    <row r="724" spans="1:41" ht="12.75" customHeight="1" x14ac:dyDescent="0.2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  <c r="AM724" s="62"/>
      <c r="AN724" s="62"/>
      <c r="AO724" s="62"/>
    </row>
    <row r="725" spans="1:41" ht="12.75" customHeight="1" x14ac:dyDescent="0.2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  <c r="AM725" s="62"/>
      <c r="AN725" s="62"/>
      <c r="AO725" s="62"/>
    </row>
    <row r="726" spans="1:41" ht="12.75" customHeight="1" x14ac:dyDescent="0.2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/>
      <c r="AI726" s="62"/>
      <c r="AJ726" s="62"/>
      <c r="AK726" s="62"/>
      <c r="AL726" s="62"/>
      <c r="AM726" s="62"/>
      <c r="AN726" s="62"/>
      <c r="AO726" s="62"/>
    </row>
    <row r="727" spans="1:41" ht="12.75" customHeight="1" x14ac:dyDescent="0.2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  <c r="AM727" s="62"/>
      <c r="AN727" s="62"/>
      <c r="AO727" s="62"/>
    </row>
    <row r="728" spans="1:41" ht="12.75" customHeight="1" x14ac:dyDescent="0.2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  <c r="AM728" s="62"/>
      <c r="AN728" s="62"/>
      <c r="AO728" s="62"/>
    </row>
    <row r="729" spans="1:41" ht="12.75" customHeight="1" x14ac:dyDescent="0.2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  <c r="AM729" s="62"/>
      <c r="AN729" s="62"/>
      <c r="AO729" s="62"/>
    </row>
    <row r="730" spans="1:41" ht="12.75" customHeight="1" x14ac:dyDescent="0.2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  <c r="AM730" s="62"/>
      <c r="AN730" s="62"/>
      <c r="AO730" s="62"/>
    </row>
    <row r="731" spans="1:41" ht="12.75" customHeight="1" x14ac:dyDescent="0.2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/>
      <c r="AI731" s="62"/>
      <c r="AJ731" s="62"/>
      <c r="AK731" s="62"/>
      <c r="AL731" s="62"/>
      <c r="AM731" s="62"/>
      <c r="AN731" s="62"/>
      <c r="AO731" s="62"/>
    </row>
    <row r="732" spans="1:41" ht="12.75" customHeight="1" x14ac:dyDescent="0.2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2"/>
      <c r="AM732" s="62"/>
      <c r="AN732" s="62"/>
      <c r="AO732" s="62"/>
    </row>
    <row r="733" spans="1:41" ht="12.75" customHeight="1" x14ac:dyDescent="0.2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/>
      <c r="AI733" s="62"/>
      <c r="AJ733" s="62"/>
      <c r="AK733" s="62"/>
      <c r="AL733" s="62"/>
      <c r="AM733" s="62"/>
      <c r="AN733" s="62"/>
      <c r="AO733" s="62"/>
    </row>
    <row r="734" spans="1:41" ht="12.75" customHeight="1" x14ac:dyDescent="0.2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/>
      <c r="AI734" s="62"/>
      <c r="AJ734" s="62"/>
      <c r="AK734" s="62"/>
      <c r="AL734" s="62"/>
      <c r="AM734" s="62"/>
      <c r="AN734" s="62"/>
      <c r="AO734" s="62"/>
    </row>
    <row r="735" spans="1:41" ht="12.75" customHeight="1" x14ac:dyDescent="0.2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/>
      <c r="AI735" s="62"/>
      <c r="AJ735" s="62"/>
      <c r="AK735" s="62"/>
      <c r="AL735" s="62"/>
      <c r="AM735" s="62"/>
      <c r="AN735" s="62"/>
      <c r="AO735" s="62"/>
    </row>
    <row r="736" spans="1:41" ht="12.75" customHeight="1" x14ac:dyDescent="0.2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/>
      <c r="AI736" s="62"/>
      <c r="AJ736" s="62"/>
      <c r="AK736" s="62"/>
      <c r="AL736" s="62"/>
      <c r="AM736" s="62"/>
      <c r="AN736" s="62"/>
      <c r="AO736" s="62"/>
    </row>
    <row r="737" spans="1:41" ht="12.75" customHeight="1" x14ac:dyDescent="0.2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/>
      <c r="AI737" s="62"/>
      <c r="AJ737" s="62"/>
      <c r="AK737" s="62"/>
      <c r="AL737" s="62"/>
      <c r="AM737" s="62"/>
      <c r="AN737" s="62"/>
      <c r="AO737" s="62"/>
    </row>
    <row r="738" spans="1:41" ht="12.75" customHeight="1" x14ac:dyDescent="0.2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/>
      <c r="AI738" s="62"/>
      <c r="AJ738" s="62"/>
      <c r="AK738" s="62"/>
      <c r="AL738" s="62"/>
      <c r="AM738" s="62"/>
      <c r="AN738" s="62"/>
      <c r="AO738" s="62"/>
    </row>
    <row r="739" spans="1:41" ht="12.75" customHeight="1" x14ac:dyDescent="0.2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  <c r="AM739" s="62"/>
      <c r="AN739" s="62"/>
      <c r="AO739" s="62"/>
    </row>
    <row r="740" spans="1:41" ht="12.75" customHeight="1" x14ac:dyDescent="0.2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/>
      <c r="AI740" s="62"/>
      <c r="AJ740" s="62"/>
      <c r="AK740" s="62"/>
      <c r="AL740" s="62"/>
      <c r="AM740" s="62"/>
      <c r="AN740" s="62"/>
      <c r="AO740" s="62"/>
    </row>
    <row r="741" spans="1:41" ht="12.75" customHeight="1" x14ac:dyDescent="0.2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/>
      <c r="AI741" s="62"/>
      <c r="AJ741" s="62"/>
      <c r="AK741" s="62"/>
      <c r="AL741" s="62"/>
      <c r="AM741" s="62"/>
      <c r="AN741" s="62"/>
      <c r="AO741" s="62"/>
    </row>
    <row r="742" spans="1:41" ht="12.75" customHeight="1" x14ac:dyDescent="0.2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/>
      <c r="AI742" s="62"/>
      <c r="AJ742" s="62"/>
      <c r="AK742" s="62"/>
      <c r="AL742" s="62"/>
      <c r="AM742" s="62"/>
      <c r="AN742" s="62"/>
      <c r="AO742" s="62"/>
    </row>
    <row r="743" spans="1:41" ht="12.75" customHeight="1" x14ac:dyDescent="0.2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/>
      <c r="AI743" s="62"/>
      <c r="AJ743" s="62"/>
      <c r="AK743" s="62"/>
      <c r="AL743" s="62"/>
      <c r="AM743" s="62"/>
      <c r="AN743" s="62"/>
      <c r="AO743" s="62"/>
    </row>
    <row r="744" spans="1:41" ht="12.75" customHeight="1" x14ac:dyDescent="0.2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  <c r="AM744" s="62"/>
      <c r="AN744" s="62"/>
      <c r="AO744" s="62"/>
    </row>
    <row r="745" spans="1:41" ht="12.75" customHeight="1" x14ac:dyDescent="0.2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/>
      <c r="AI745" s="62"/>
      <c r="AJ745" s="62"/>
      <c r="AK745" s="62"/>
      <c r="AL745" s="62"/>
      <c r="AM745" s="62"/>
      <c r="AN745" s="62"/>
      <c r="AO745" s="62"/>
    </row>
    <row r="746" spans="1:41" ht="12.75" customHeight="1" x14ac:dyDescent="0.2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/>
      <c r="AI746" s="62"/>
      <c r="AJ746" s="62"/>
      <c r="AK746" s="62"/>
      <c r="AL746" s="62"/>
      <c r="AM746" s="62"/>
      <c r="AN746" s="62"/>
      <c r="AO746" s="62"/>
    </row>
    <row r="747" spans="1:41" ht="12.75" customHeight="1" x14ac:dyDescent="0.2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  <c r="AM747" s="62"/>
      <c r="AN747" s="62"/>
      <c r="AO747" s="62"/>
    </row>
    <row r="748" spans="1:41" ht="12.75" customHeight="1" x14ac:dyDescent="0.2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/>
      <c r="AI748" s="62"/>
      <c r="AJ748" s="62"/>
      <c r="AK748" s="62"/>
      <c r="AL748" s="62"/>
      <c r="AM748" s="62"/>
      <c r="AN748" s="62"/>
      <c r="AO748" s="62"/>
    </row>
    <row r="749" spans="1:41" ht="12.75" customHeight="1" x14ac:dyDescent="0.2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/>
      <c r="AI749" s="62"/>
      <c r="AJ749" s="62"/>
      <c r="AK749" s="62"/>
      <c r="AL749" s="62"/>
      <c r="AM749" s="62"/>
      <c r="AN749" s="62"/>
      <c r="AO749" s="62"/>
    </row>
    <row r="750" spans="1:41" ht="12.75" customHeight="1" x14ac:dyDescent="0.2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/>
      <c r="AI750" s="62"/>
      <c r="AJ750" s="62"/>
      <c r="AK750" s="62"/>
      <c r="AL750" s="62"/>
      <c r="AM750" s="62"/>
      <c r="AN750" s="62"/>
      <c r="AO750" s="62"/>
    </row>
    <row r="751" spans="1:41" ht="12.75" customHeight="1" x14ac:dyDescent="0.2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/>
      <c r="AI751" s="62"/>
      <c r="AJ751" s="62"/>
      <c r="AK751" s="62"/>
      <c r="AL751" s="62"/>
      <c r="AM751" s="62"/>
      <c r="AN751" s="62"/>
      <c r="AO751" s="62"/>
    </row>
    <row r="752" spans="1:41" ht="12.75" customHeight="1" x14ac:dyDescent="0.2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/>
      <c r="AI752" s="62"/>
      <c r="AJ752" s="62"/>
      <c r="AK752" s="62"/>
      <c r="AL752" s="62"/>
      <c r="AM752" s="62"/>
      <c r="AN752" s="62"/>
      <c r="AO752" s="62"/>
    </row>
    <row r="753" spans="1:41" ht="12.75" customHeight="1" x14ac:dyDescent="0.2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/>
      <c r="AI753" s="62"/>
      <c r="AJ753" s="62"/>
      <c r="AK753" s="62"/>
      <c r="AL753" s="62"/>
      <c r="AM753" s="62"/>
      <c r="AN753" s="62"/>
      <c r="AO753" s="62"/>
    </row>
    <row r="754" spans="1:41" ht="12.75" customHeight="1" x14ac:dyDescent="0.2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/>
      <c r="AI754" s="62"/>
      <c r="AJ754" s="62"/>
      <c r="AK754" s="62"/>
      <c r="AL754" s="62"/>
      <c r="AM754" s="62"/>
      <c r="AN754" s="62"/>
      <c r="AO754" s="62"/>
    </row>
    <row r="755" spans="1:41" ht="12.75" customHeight="1" x14ac:dyDescent="0.2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/>
      <c r="AI755" s="62"/>
      <c r="AJ755" s="62"/>
      <c r="AK755" s="62"/>
      <c r="AL755" s="62"/>
      <c r="AM755" s="62"/>
      <c r="AN755" s="62"/>
      <c r="AO755" s="62"/>
    </row>
    <row r="756" spans="1:41" ht="12.75" customHeight="1" x14ac:dyDescent="0.2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/>
      <c r="AI756" s="62"/>
      <c r="AJ756" s="62"/>
      <c r="AK756" s="62"/>
      <c r="AL756" s="62"/>
      <c r="AM756" s="62"/>
      <c r="AN756" s="62"/>
      <c r="AO756" s="62"/>
    </row>
    <row r="757" spans="1:41" ht="12.75" customHeight="1" x14ac:dyDescent="0.2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I757" s="62"/>
      <c r="AJ757" s="62"/>
      <c r="AK757" s="62"/>
      <c r="AL757" s="62"/>
      <c r="AM757" s="62"/>
      <c r="AN757" s="62"/>
      <c r="AO757" s="62"/>
    </row>
    <row r="758" spans="1:41" ht="12.75" customHeight="1" x14ac:dyDescent="0.2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/>
      <c r="AI758" s="62"/>
      <c r="AJ758" s="62"/>
      <c r="AK758" s="62"/>
      <c r="AL758" s="62"/>
      <c r="AM758" s="62"/>
      <c r="AN758" s="62"/>
      <c r="AO758" s="62"/>
    </row>
    <row r="759" spans="1:41" ht="12.75" customHeight="1" x14ac:dyDescent="0.2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/>
      <c r="AI759" s="62"/>
      <c r="AJ759" s="62"/>
      <c r="AK759" s="62"/>
      <c r="AL759" s="62"/>
      <c r="AM759" s="62"/>
      <c r="AN759" s="62"/>
      <c r="AO759" s="62"/>
    </row>
    <row r="760" spans="1:41" ht="12.75" customHeight="1" x14ac:dyDescent="0.2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/>
      <c r="AI760" s="62"/>
      <c r="AJ760" s="62"/>
      <c r="AK760" s="62"/>
      <c r="AL760" s="62"/>
      <c r="AM760" s="62"/>
      <c r="AN760" s="62"/>
      <c r="AO760" s="62"/>
    </row>
    <row r="761" spans="1:41" ht="12.75" customHeight="1" x14ac:dyDescent="0.2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/>
      <c r="AI761" s="62"/>
      <c r="AJ761" s="62"/>
      <c r="AK761" s="62"/>
      <c r="AL761" s="62"/>
      <c r="AM761" s="62"/>
      <c r="AN761" s="62"/>
      <c r="AO761" s="62"/>
    </row>
    <row r="762" spans="1:41" ht="12.75" customHeight="1" x14ac:dyDescent="0.2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/>
      <c r="AI762" s="62"/>
      <c r="AJ762" s="62"/>
      <c r="AK762" s="62"/>
      <c r="AL762" s="62"/>
      <c r="AM762" s="62"/>
      <c r="AN762" s="62"/>
      <c r="AO762" s="62"/>
    </row>
    <row r="763" spans="1:41" ht="12.75" customHeight="1" x14ac:dyDescent="0.2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/>
      <c r="AI763" s="62"/>
      <c r="AJ763" s="62"/>
      <c r="AK763" s="62"/>
      <c r="AL763" s="62"/>
      <c r="AM763" s="62"/>
      <c r="AN763" s="62"/>
      <c r="AO763" s="62"/>
    </row>
    <row r="764" spans="1:41" ht="12.75" customHeight="1" x14ac:dyDescent="0.2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/>
      <c r="AI764" s="62"/>
      <c r="AJ764" s="62"/>
      <c r="AK764" s="62"/>
      <c r="AL764" s="62"/>
      <c r="AM764" s="62"/>
      <c r="AN764" s="62"/>
      <c r="AO764" s="62"/>
    </row>
    <row r="765" spans="1:41" ht="12.75" customHeight="1" x14ac:dyDescent="0.2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/>
      <c r="AI765" s="62"/>
      <c r="AJ765" s="62"/>
      <c r="AK765" s="62"/>
      <c r="AL765" s="62"/>
      <c r="AM765" s="62"/>
      <c r="AN765" s="62"/>
      <c r="AO765" s="62"/>
    </row>
    <row r="766" spans="1:41" ht="12.75" customHeight="1" x14ac:dyDescent="0.2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/>
      <c r="AI766" s="62"/>
      <c r="AJ766" s="62"/>
      <c r="AK766" s="62"/>
      <c r="AL766" s="62"/>
      <c r="AM766" s="62"/>
      <c r="AN766" s="62"/>
      <c r="AO766" s="62"/>
    </row>
    <row r="767" spans="1:41" ht="12.75" customHeight="1" x14ac:dyDescent="0.2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/>
      <c r="AI767" s="62"/>
      <c r="AJ767" s="62"/>
      <c r="AK767" s="62"/>
      <c r="AL767" s="62"/>
      <c r="AM767" s="62"/>
      <c r="AN767" s="62"/>
      <c r="AO767" s="62"/>
    </row>
    <row r="768" spans="1:41" ht="12.75" customHeight="1" x14ac:dyDescent="0.2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/>
      <c r="AI768" s="62"/>
      <c r="AJ768" s="62"/>
      <c r="AK768" s="62"/>
      <c r="AL768" s="62"/>
      <c r="AM768" s="62"/>
      <c r="AN768" s="62"/>
      <c r="AO768" s="62"/>
    </row>
    <row r="769" spans="1:41" ht="12.75" customHeight="1" x14ac:dyDescent="0.2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/>
      <c r="AI769" s="62"/>
      <c r="AJ769" s="62"/>
      <c r="AK769" s="62"/>
      <c r="AL769" s="62"/>
      <c r="AM769" s="62"/>
      <c r="AN769" s="62"/>
      <c r="AO769" s="62"/>
    </row>
    <row r="770" spans="1:41" ht="12.75" customHeight="1" x14ac:dyDescent="0.2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41" ht="12.75" customHeight="1" x14ac:dyDescent="0.2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2"/>
      <c r="AK771" s="62"/>
      <c r="AL771" s="62"/>
      <c r="AM771" s="62"/>
      <c r="AN771" s="62"/>
      <c r="AO771" s="62"/>
    </row>
    <row r="772" spans="1:41" ht="12.75" customHeight="1" x14ac:dyDescent="0.2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/>
      <c r="AI772" s="62"/>
      <c r="AJ772" s="62"/>
      <c r="AK772" s="62"/>
      <c r="AL772" s="62"/>
      <c r="AM772" s="62"/>
      <c r="AN772" s="62"/>
      <c r="AO772" s="62"/>
    </row>
    <row r="773" spans="1:41" ht="12.75" customHeight="1" x14ac:dyDescent="0.2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/>
      <c r="AI773" s="62"/>
      <c r="AJ773" s="62"/>
      <c r="AK773" s="62"/>
      <c r="AL773" s="62"/>
      <c r="AM773" s="62"/>
      <c r="AN773" s="62"/>
      <c r="AO773" s="62"/>
    </row>
    <row r="774" spans="1:41" ht="12.75" customHeight="1" x14ac:dyDescent="0.2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/>
      <c r="AI774" s="62"/>
      <c r="AJ774" s="62"/>
      <c r="AK774" s="62"/>
      <c r="AL774" s="62"/>
      <c r="AM774" s="62"/>
      <c r="AN774" s="62"/>
      <c r="AO774" s="62"/>
    </row>
    <row r="775" spans="1:41" ht="12.75" customHeight="1" x14ac:dyDescent="0.2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/>
      <c r="AI775" s="62"/>
      <c r="AJ775" s="62"/>
      <c r="AK775" s="62"/>
      <c r="AL775" s="62"/>
      <c r="AM775" s="62"/>
      <c r="AN775" s="62"/>
      <c r="AO775" s="62"/>
    </row>
    <row r="776" spans="1:41" ht="12.75" customHeight="1" x14ac:dyDescent="0.2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/>
      <c r="AI776" s="62"/>
      <c r="AJ776" s="62"/>
      <c r="AK776" s="62"/>
      <c r="AL776" s="62"/>
      <c r="AM776" s="62"/>
      <c r="AN776" s="62"/>
      <c r="AO776" s="62"/>
    </row>
    <row r="777" spans="1:41" ht="12.75" customHeight="1" x14ac:dyDescent="0.2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  <c r="AM777" s="62"/>
      <c r="AN777" s="62"/>
      <c r="AO777" s="62"/>
    </row>
    <row r="778" spans="1:41" ht="12.75" customHeight="1" x14ac:dyDescent="0.2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  <c r="AM778" s="62"/>
      <c r="AN778" s="62"/>
      <c r="AO778" s="62"/>
    </row>
    <row r="779" spans="1:41" ht="12.75" customHeight="1" x14ac:dyDescent="0.2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  <c r="AM779" s="62"/>
      <c r="AN779" s="62"/>
      <c r="AO779" s="62"/>
    </row>
    <row r="780" spans="1:41" ht="12.75" customHeight="1" x14ac:dyDescent="0.2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  <c r="AM780" s="62"/>
      <c r="AN780" s="62"/>
      <c r="AO780" s="62"/>
    </row>
    <row r="781" spans="1:41" ht="12.75" customHeight="1" x14ac:dyDescent="0.2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/>
      <c r="AI781" s="62"/>
      <c r="AJ781" s="62"/>
      <c r="AK781" s="62"/>
      <c r="AL781" s="62"/>
      <c r="AM781" s="62"/>
      <c r="AN781" s="62"/>
      <c r="AO781" s="62"/>
    </row>
    <row r="782" spans="1:41" ht="12.75" customHeight="1" x14ac:dyDescent="0.2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/>
      <c r="AI782" s="62"/>
      <c r="AJ782" s="62"/>
      <c r="AK782" s="62"/>
      <c r="AL782" s="62"/>
      <c r="AM782" s="62"/>
      <c r="AN782" s="62"/>
      <c r="AO782" s="62"/>
    </row>
    <row r="783" spans="1:41" ht="12.75" customHeight="1" x14ac:dyDescent="0.2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  <c r="AO783" s="62"/>
    </row>
    <row r="784" spans="1:41" ht="12.75" customHeight="1" x14ac:dyDescent="0.2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62"/>
      <c r="AH784" s="62"/>
      <c r="AI784" s="62"/>
      <c r="AJ784" s="62"/>
      <c r="AK784" s="62"/>
      <c r="AL784" s="62"/>
      <c r="AM784" s="62"/>
      <c r="AN784" s="62"/>
      <c r="AO784" s="62"/>
    </row>
    <row r="785" spans="1:41" ht="12.75" customHeight="1" x14ac:dyDescent="0.2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</row>
    <row r="786" spans="1:41" ht="12.75" customHeight="1" x14ac:dyDescent="0.2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/>
      <c r="AI786" s="62"/>
      <c r="AJ786" s="62"/>
      <c r="AK786" s="62"/>
      <c r="AL786" s="62"/>
      <c r="AM786" s="62"/>
      <c r="AN786" s="62"/>
      <c r="AO786" s="62"/>
    </row>
    <row r="787" spans="1:41" ht="12.75" customHeight="1" x14ac:dyDescent="0.2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/>
      <c r="AI787" s="62"/>
      <c r="AJ787" s="62"/>
      <c r="AK787" s="62"/>
      <c r="AL787" s="62"/>
      <c r="AM787" s="62"/>
      <c r="AN787" s="62"/>
      <c r="AO787" s="62"/>
    </row>
    <row r="788" spans="1:41" ht="12.75" customHeight="1" x14ac:dyDescent="0.2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  <c r="AM788" s="62"/>
      <c r="AN788" s="62"/>
      <c r="AO788" s="62"/>
    </row>
    <row r="789" spans="1:41" ht="12.75" customHeight="1" x14ac:dyDescent="0.2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/>
      <c r="AI789" s="62"/>
      <c r="AJ789" s="62"/>
      <c r="AK789" s="62"/>
      <c r="AL789" s="62"/>
      <c r="AM789" s="62"/>
      <c r="AN789" s="62"/>
      <c r="AO789" s="62"/>
    </row>
    <row r="790" spans="1:41" ht="12.75" customHeight="1" x14ac:dyDescent="0.2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/>
      <c r="AI790" s="62"/>
      <c r="AJ790" s="62"/>
      <c r="AK790" s="62"/>
      <c r="AL790" s="62"/>
      <c r="AM790" s="62"/>
      <c r="AN790" s="62"/>
      <c r="AO790" s="62"/>
    </row>
    <row r="791" spans="1:41" ht="12.75" customHeight="1" x14ac:dyDescent="0.2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/>
      <c r="AI791" s="62"/>
      <c r="AJ791" s="62"/>
      <c r="AK791" s="62"/>
      <c r="AL791" s="62"/>
      <c r="AM791" s="62"/>
      <c r="AN791" s="62"/>
      <c r="AO791" s="62"/>
    </row>
    <row r="792" spans="1:41" ht="12.75" customHeight="1" x14ac:dyDescent="0.2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/>
      <c r="AI792" s="62"/>
      <c r="AJ792" s="62"/>
      <c r="AK792" s="62"/>
      <c r="AL792" s="62"/>
      <c r="AM792" s="62"/>
      <c r="AN792" s="62"/>
      <c r="AO792" s="62"/>
    </row>
    <row r="793" spans="1:41" ht="12.75" customHeight="1" x14ac:dyDescent="0.2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  <c r="AM793" s="62"/>
      <c r="AN793" s="62"/>
      <c r="AO793" s="62"/>
    </row>
    <row r="794" spans="1:41" ht="12.75" customHeight="1" x14ac:dyDescent="0.2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/>
      <c r="AI794" s="62"/>
      <c r="AJ794" s="62"/>
      <c r="AK794" s="62"/>
      <c r="AL794" s="62"/>
      <c r="AM794" s="62"/>
      <c r="AN794" s="62"/>
      <c r="AO794" s="62"/>
    </row>
    <row r="795" spans="1:41" ht="12.75" customHeight="1" x14ac:dyDescent="0.2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  <c r="AO795" s="62"/>
    </row>
    <row r="796" spans="1:41" ht="12.75" customHeight="1" x14ac:dyDescent="0.2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  <c r="AM796" s="62"/>
      <c r="AN796" s="62"/>
      <c r="AO796" s="62"/>
    </row>
    <row r="797" spans="1:41" ht="12.75" customHeight="1" x14ac:dyDescent="0.2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  <c r="AM797" s="62"/>
      <c r="AN797" s="62"/>
      <c r="AO797" s="62"/>
    </row>
    <row r="798" spans="1:41" ht="12.75" customHeight="1" x14ac:dyDescent="0.2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  <c r="AM798" s="62"/>
      <c r="AN798" s="62"/>
      <c r="AO798" s="62"/>
    </row>
    <row r="799" spans="1:41" ht="12.75" customHeight="1" x14ac:dyDescent="0.2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/>
      <c r="AI799" s="62"/>
      <c r="AJ799" s="62"/>
      <c r="AK799" s="62"/>
      <c r="AL799" s="62"/>
      <c r="AM799" s="62"/>
      <c r="AN799" s="62"/>
      <c r="AO799" s="62"/>
    </row>
    <row r="800" spans="1:41" ht="12.75" customHeight="1" x14ac:dyDescent="0.2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  <c r="AO800" s="62"/>
    </row>
    <row r="801" spans="1:41" ht="12.75" customHeight="1" x14ac:dyDescent="0.2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  <c r="AM801" s="62"/>
      <c r="AN801" s="62"/>
      <c r="AO801" s="62"/>
    </row>
    <row r="802" spans="1:41" ht="12.75" customHeight="1" x14ac:dyDescent="0.2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  <c r="AM802" s="62"/>
      <c r="AN802" s="62"/>
      <c r="AO802" s="62"/>
    </row>
    <row r="803" spans="1:41" ht="12.75" customHeight="1" x14ac:dyDescent="0.2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  <c r="AO803" s="62"/>
    </row>
    <row r="804" spans="1:41" ht="12.75" customHeight="1" x14ac:dyDescent="0.2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/>
      <c r="AI804" s="62"/>
      <c r="AJ804" s="62"/>
      <c r="AK804" s="62"/>
      <c r="AL804" s="62"/>
      <c r="AM804" s="62"/>
      <c r="AN804" s="62"/>
      <c r="AO804" s="62"/>
    </row>
    <row r="805" spans="1:41" ht="12.75" customHeight="1" x14ac:dyDescent="0.2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/>
      <c r="AI805" s="62"/>
      <c r="AJ805" s="62"/>
      <c r="AK805" s="62"/>
      <c r="AL805" s="62"/>
      <c r="AM805" s="62"/>
      <c r="AN805" s="62"/>
      <c r="AO805" s="62"/>
    </row>
    <row r="806" spans="1:41" ht="12.75" customHeight="1" x14ac:dyDescent="0.2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/>
      <c r="AI806" s="62"/>
      <c r="AJ806" s="62"/>
      <c r="AK806" s="62"/>
      <c r="AL806" s="62"/>
      <c r="AM806" s="62"/>
      <c r="AN806" s="62"/>
      <c r="AO806" s="62"/>
    </row>
    <row r="807" spans="1:41" ht="12.75" customHeight="1" x14ac:dyDescent="0.2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/>
      <c r="AI807" s="62"/>
      <c r="AJ807" s="62"/>
      <c r="AK807" s="62"/>
      <c r="AL807" s="62"/>
      <c r="AM807" s="62"/>
      <c r="AN807" s="62"/>
      <c r="AO807" s="62"/>
    </row>
    <row r="808" spans="1:41" ht="12.75" customHeight="1" x14ac:dyDescent="0.2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/>
      <c r="AI808" s="62"/>
      <c r="AJ808" s="62"/>
      <c r="AK808" s="62"/>
      <c r="AL808" s="62"/>
      <c r="AM808" s="62"/>
      <c r="AN808" s="62"/>
      <c r="AO808" s="62"/>
    </row>
    <row r="809" spans="1:41" ht="12.75" customHeight="1" x14ac:dyDescent="0.2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/>
      <c r="AI809" s="62"/>
      <c r="AJ809" s="62"/>
      <c r="AK809" s="62"/>
      <c r="AL809" s="62"/>
      <c r="AM809" s="62"/>
      <c r="AN809" s="62"/>
      <c r="AO809" s="62"/>
    </row>
    <row r="810" spans="1:41" ht="12.75" customHeight="1" x14ac:dyDescent="0.2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  <c r="AM810" s="62"/>
      <c r="AN810" s="62"/>
      <c r="AO810" s="62"/>
    </row>
    <row r="811" spans="1:41" ht="12.75" customHeight="1" x14ac:dyDescent="0.2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/>
      <c r="AI811" s="62"/>
      <c r="AJ811" s="62"/>
      <c r="AK811" s="62"/>
      <c r="AL811" s="62"/>
      <c r="AM811" s="62"/>
      <c r="AN811" s="62"/>
      <c r="AO811" s="62"/>
    </row>
    <row r="812" spans="1:41" ht="12.75" customHeight="1" x14ac:dyDescent="0.2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/>
      <c r="AI812" s="62"/>
      <c r="AJ812" s="62"/>
      <c r="AK812" s="62"/>
      <c r="AL812" s="62"/>
      <c r="AM812" s="62"/>
      <c r="AN812" s="62"/>
      <c r="AO812" s="62"/>
    </row>
    <row r="813" spans="1:41" ht="12.75" customHeight="1" x14ac:dyDescent="0.2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/>
      <c r="AI813" s="62"/>
      <c r="AJ813" s="62"/>
      <c r="AK813" s="62"/>
      <c r="AL813" s="62"/>
      <c r="AM813" s="62"/>
      <c r="AN813" s="62"/>
      <c r="AO813" s="62"/>
    </row>
    <row r="814" spans="1:41" ht="12.75" customHeight="1" x14ac:dyDescent="0.2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/>
      <c r="AI814" s="62"/>
      <c r="AJ814" s="62"/>
      <c r="AK814" s="62"/>
      <c r="AL814" s="62"/>
      <c r="AM814" s="62"/>
      <c r="AN814" s="62"/>
      <c r="AO814" s="62"/>
    </row>
    <row r="815" spans="1:41" ht="12.75" customHeight="1" x14ac:dyDescent="0.2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/>
      <c r="AI815" s="62"/>
      <c r="AJ815" s="62"/>
      <c r="AK815" s="62"/>
      <c r="AL815" s="62"/>
      <c r="AM815" s="62"/>
      <c r="AN815" s="62"/>
      <c r="AO815" s="62"/>
    </row>
    <row r="816" spans="1:41" ht="12.75" customHeight="1" x14ac:dyDescent="0.2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/>
      <c r="AI816" s="62"/>
      <c r="AJ816" s="62"/>
      <c r="AK816" s="62"/>
      <c r="AL816" s="62"/>
      <c r="AM816" s="62"/>
      <c r="AN816" s="62"/>
      <c r="AO816" s="62"/>
    </row>
    <row r="817" spans="1:41" ht="12.75" customHeight="1" x14ac:dyDescent="0.2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/>
      <c r="AI817" s="62"/>
      <c r="AJ817" s="62"/>
      <c r="AK817" s="62"/>
      <c r="AL817" s="62"/>
      <c r="AM817" s="62"/>
      <c r="AN817" s="62"/>
      <c r="AO817" s="62"/>
    </row>
    <row r="818" spans="1:41" ht="12.75" customHeight="1" x14ac:dyDescent="0.2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/>
      <c r="AI818" s="62"/>
      <c r="AJ818" s="62"/>
      <c r="AK818" s="62"/>
      <c r="AL818" s="62"/>
      <c r="AM818" s="62"/>
      <c r="AN818" s="62"/>
      <c r="AO818" s="62"/>
    </row>
    <row r="819" spans="1:41" ht="12.75" customHeight="1" x14ac:dyDescent="0.2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/>
      <c r="AI819" s="62"/>
      <c r="AJ819" s="62"/>
      <c r="AK819" s="62"/>
      <c r="AL819" s="62"/>
      <c r="AM819" s="62"/>
      <c r="AN819" s="62"/>
      <c r="AO819" s="62"/>
    </row>
    <row r="820" spans="1:41" ht="12.75" customHeight="1" x14ac:dyDescent="0.2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/>
      <c r="AI820" s="62"/>
      <c r="AJ820" s="62"/>
      <c r="AK820" s="62"/>
      <c r="AL820" s="62"/>
      <c r="AM820" s="62"/>
      <c r="AN820" s="62"/>
      <c r="AO820" s="62"/>
    </row>
    <row r="821" spans="1:41" ht="12.75" customHeight="1" x14ac:dyDescent="0.2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/>
      <c r="AI821" s="62"/>
      <c r="AJ821" s="62"/>
      <c r="AK821" s="62"/>
      <c r="AL821" s="62"/>
      <c r="AM821" s="62"/>
      <c r="AN821" s="62"/>
      <c r="AO821" s="62"/>
    </row>
    <row r="822" spans="1:41" ht="12.75" customHeight="1" x14ac:dyDescent="0.2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/>
      <c r="AI822" s="62"/>
      <c r="AJ822" s="62"/>
      <c r="AK822" s="62"/>
      <c r="AL822" s="62"/>
      <c r="AM822" s="62"/>
      <c r="AN822" s="62"/>
      <c r="AO822" s="62"/>
    </row>
    <row r="823" spans="1:41" ht="12.75" customHeight="1" x14ac:dyDescent="0.2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/>
      <c r="AI823" s="62"/>
      <c r="AJ823" s="62"/>
      <c r="AK823" s="62"/>
      <c r="AL823" s="62"/>
      <c r="AM823" s="62"/>
      <c r="AN823" s="62"/>
      <c r="AO823" s="62"/>
    </row>
    <row r="824" spans="1:41" ht="12.75" customHeight="1" x14ac:dyDescent="0.2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/>
      <c r="AI824" s="62"/>
      <c r="AJ824" s="62"/>
      <c r="AK824" s="62"/>
      <c r="AL824" s="62"/>
      <c r="AM824" s="62"/>
      <c r="AN824" s="62"/>
      <c r="AO824" s="62"/>
    </row>
    <row r="825" spans="1:41" ht="12.75" customHeight="1" x14ac:dyDescent="0.2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/>
      <c r="AI825" s="62"/>
      <c r="AJ825" s="62"/>
      <c r="AK825" s="62"/>
      <c r="AL825" s="62"/>
      <c r="AM825" s="62"/>
      <c r="AN825" s="62"/>
      <c r="AO825" s="62"/>
    </row>
    <row r="826" spans="1:41" ht="12.75" customHeight="1" x14ac:dyDescent="0.2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/>
      <c r="AI826" s="62"/>
      <c r="AJ826" s="62"/>
      <c r="AK826" s="62"/>
      <c r="AL826" s="62"/>
      <c r="AM826" s="62"/>
      <c r="AN826" s="62"/>
      <c r="AO826" s="62"/>
    </row>
    <row r="827" spans="1:41" ht="12.75" customHeight="1" x14ac:dyDescent="0.2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  <c r="AM827" s="62"/>
      <c r="AN827" s="62"/>
      <c r="AO827" s="62"/>
    </row>
    <row r="828" spans="1:41" ht="12.75" customHeight="1" x14ac:dyDescent="0.2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/>
      <c r="AI828" s="62"/>
      <c r="AJ828" s="62"/>
      <c r="AK828" s="62"/>
      <c r="AL828" s="62"/>
      <c r="AM828" s="62"/>
      <c r="AN828" s="62"/>
      <c r="AO828" s="62"/>
    </row>
    <row r="829" spans="1:41" ht="12.75" customHeight="1" x14ac:dyDescent="0.2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/>
      <c r="AI829" s="62"/>
      <c r="AJ829" s="62"/>
      <c r="AK829" s="62"/>
      <c r="AL829" s="62"/>
      <c r="AM829" s="62"/>
      <c r="AN829" s="62"/>
      <c r="AO829" s="62"/>
    </row>
    <row r="830" spans="1:41" ht="12.75" customHeight="1" x14ac:dyDescent="0.2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/>
      <c r="AI830" s="62"/>
      <c r="AJ830" s="62"/>
      <c r="AK830" s="62"/>
      <c r="AL830" s="62"/>
      <c r="AM830" s="62"/>
      <c r="AN830" s="62"/>
      <c r="AO830" s="62"/>
    </row>
    <row r="831" spans="1:41" ht="12.75" customHeight="1" x14ac:dyDescent="0.2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/>
      <c r="AI831" s="62"/>
      <c r="AJ831" s="62"/>
      <c r="AK831" s="62"/>
      <c r="AL831" s="62"/>
      <c r="AM831" s="62"/>
      <c r="AN831" s="62"/>
      <c r="AO831" s="62"/>
    </row>
    <row r="832" spans="1:41" ht="12.75" customHeight="1" x14ac:dyDescent="0.2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  <c r="AO832" s="62"/>
    </row>
    <row r="833" spans="1:41" ht="12.75" customHeight="1" x14ac:dyDescent="0.2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/>
      <c r="AI833" s="62"/>
      <c r="AJ833" s="62"/>
      <c r="AK833" s="62"/>
      <c r="AL833" s="62"/>
      <c r="AM833" s="62"/>
      <c r="AN833" s="62"/>
      <c r="AO833" s="62"/>
    </row>
    <row r="834" spans="1:41" ht="12.75" customHeight="1" x14ac:dyDescent="0.2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/>
      <c r="AI834" s="62"/>
      <c r="AJ834" s="62"/>
      <c r="AK834" s="62"/>
      <c r="AL834" s="62"/>
      <c r="AM834" s="62"/>
      <c r="AN834" s="62"/>
      <c r="AO834" s="62"/>
    </row>
    <row r="835" spans="1:41" ht="12.75" customHeight="1" x14ac:dyDescent="0.2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  <c r="AM835" s="62"/>
      <c r="AN835" s="62"/>
      <c r="AO835" s="62"/>
    </row>
    <row r="836" spans="1:41" ht="12.75" customHeight="1" x14ac:dyDescent="0.2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  <c r="AO836" s="62"/>
    </row>
    <row r="837" spans="1:41" ht="12.75" customHeight="1" x14ac:dyDescent="0.2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  <c r="AO837" s="62"/>
    </row>
    <row r="838" spans="1:41" ht="12.75" customHeight="1" x14ac:dyDescent="0.2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  <c r="AM838" s="62"/>
      <c r="AN838" s="62"/>
      <c r="AO838" s="62"/>
    </row>
    <row r="839" spans="1:41" ht="12.75" customHeight="1" x14ac:dyDescent="0.2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  <c r="AM839" s="62"/>
      <c r="AN839" s="62"/>
      <c r="AO839" s="62"/>
    </row>
    <row r="840" spans="1:41" ht="12.75" customHeight="1" x14ac:dyDescent="0.2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  <c r="AM840" s="62"/>
      <c r="AN840" s="62"/>
      <c r="AO840" s="62"/>
    </row>
    <row r="841" spans="1:41" ht="12.75" customHeight="1" x14ac:dyDescent="0.2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  <c r="AM841" s="62"/>
      <c r="AN841" s="62"/>
      <c r="AO841" s="62"/>
    </row>
    <row r="842" spans="1:41" ht="12.75" customHeight="1" x14ac:dyDescent="0.2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  <c r="AO842" s="62"/>
    </row>
    <row r="843" spans="1:41" ht="12.75" customHeight="1" x14ac:dyDescent="0.2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  <c r="AM843" s="62"/>
      <c r="AN843" s="62"/>
      <c r="AO843" s="62"/>
    </row>
    <row r="844" spans="1:41" ht="12.75" customHeight="1" x14ac:dyDescent="0.2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  <c r="AM844" s="62"/>
      <c r="AN844" s="62"/>
      <c r="AO844" s="62"/>
    </row>
    <row r="845" spans="1:41" ht="12.75" customHeight="1" x14ac:dyDescent="0.2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  <c r="AM845" s="62"/>
      <c r="AN845" s="62"/>
      <c r="AO845" s="62"/>
    </row>
    <row r="846" spans="1:41" ht="12.75" customHeight="1" x14ac:dyDescent="0.2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  <c r="AM846" s="62"/>
      <c r="AN846" s="62"/>
      <c r="AO846" s="62"/>
    </row>
    <row r="847" spans="1:41" ht="12.75" customHeight="1" x14ac:dyDescent="0.2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  <c r="AM847" s="62"/>
      <c r="AN847" s="62"/>
      <c r="AO847" s="62"/>
    </row>
    <row r="848" spans="1:41" ht="12.75" customHeight="1" x14ac:dyDescent="0.2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/>
      <c r="AI848" s="62"/>
      <c r="AJ848" s="62"/>
      <c r="AK848" s="62"/>
      <c r="AL848" s="62"/>
      <c r="AM848" s="62"/>
      <c r="AN848" s="62"/>
      <c r="AO848" s="62"/>
    </row>
    <row r="849" spans="1:41" ht="12.75" customHeight="1" x14ac:dyDescent="0.2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  <c r="AM849" s="62"/>
      <c r="AN849" s="62"/>
      <c r="AO849" s="62"/>
    </row>
    <row r="850" spans="1:41" ht="12.75" customHeight="1" x14ac:dyDescent="0.2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  <c r="AM850" s="62"/>
      <c r="AN850" s="62"/>
      <c r="AO850" s="62"/>
    </row>
    <row r="851" spans="1:41" ht="12.75" customHeight="1" x14ac:dyDescent="0.2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  <c r="AM851" s="62"/>
      <c r="AN851" s="62"/>
      <c r="AO851" s="62"/>
    </row>
    <row r="852" spans="1:41" ht="12.75" customHeight="1" x14ac:dyDescent="0.2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  <c r="AM852" s="62"/>
      <c r="AN852" s="62"/>
      <c r="AO852" s="62"/>
    </row>
    <row r="853" spans="1:41" ht="12.75" customHeight="1" x14ac:dyDescent="0.2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  <c r="AM853" s="62"/>
      <c r="AN853" s="62"/>
      <c r="AO853" s="62"/>
    </row>
    <row r="854" spans="1:41" ht="12.75" customHeight="1" x14ac:dyDescent="0.2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  <c r="AO854" s="62"/>
    </row>
    <row r="855" spans="1:41" ht="12.75" customHeight="1" x14ac:dyDescent="0.2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  <c r="AM855" s="62"/>
      <c r="AN855" s="62"/>
      <c r="AO855" s="62"/>
    </row>
    <row r="856" spans="1:41" ht="12.75" customHeight="1" x14ac:dyDescent="0.2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  <c r="AM856" s="62"/>
      <c r="AN856" s="62"/>
      <c r="AO856" s="62"/>
    </row>
    <row r="857" spans="1:41" ht="12.75" customHeight="1" x14ac:dyDescent="0.2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  <c r="AO857" s="62"/>
    </row>
    <row r="858" spans="1:41" ht="12.75" customHeight="1" x14ac:dyDescent="0.2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  <c r="AM858" s="62"/>
      <c r="AN858" s="62"/>
      <c r="AO858" s="62"/>
    </row>
    <row r="859" spans="1:41" ht="12.75" customHeight="1" x14ac:dyDescent="0.2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  <c r="AM859" s="62"/>
      <c r="AN859" s="62"/>
      <c r="AO859" s="62"/>
    </row>
    <row r="860" spans="1:41" ht="12.75" customHeight="1" x14ac:dyDescent="0.2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  <c r="AO860" s="62"/>
    </row>
    <row r="861" spans="1:41" ht="12.75" customHeight="1" x14ac:dyDescent="0.2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  <c r="AM861" s="62"/>
      <c r="AN861" s="62"/>
      <c r="AO861" s="62"/>
    </row>
    <row r="862" spans="1:41" ht="12.75" customHeight="1" x14ac:dyDescent="0.2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  <c r="AO862" s="62"/>
    </row>
    <row r="863" spans="1:41" ht="12.75" customHeight="1" x14ac:dyDescent="0.2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  <c r="AM863" s="62"/>
      <c r="AN863" s="62"/>
      <c r="AO863" s="62"/>
    </row>
    <row r="864" spans="1:41" ht="12.75" customHeight="1" x14ac:dyDescent="0.2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  <c r="AM864" s="62"/>
      <c r="AN864" s="62"/>
      <c r="AO864" s="62"/>
    </row>
    <row r="865" spans="1:41" ht="12.75" customHeight="1" x14ac:dyDescent="0.2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  <c r="AO865" s="62"/>
    </row>
    <row r="866" spans="1:41" ht="12.75" customHeight="1" x14ac:dyDescent="0.2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  <c r="AO866" s="62"/>
    </row>
    <row r="867" spans="1:41" ht="12.75" customHeight="1" x14ac:dyDescent="0.2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  <c r="AO867" s="62"/>
    </row>
    <row r="868" spans="1:41" ht="12.75" customHeight="1" x14ac:dyDescent="0.2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  <c r="AM868" s="62"/>
      <c r="AN868" s="62"/>
      <c r="AO868" s="62"/>
    </row>
    <row r="869" spans="1:41" ht="12.75" customHeight="1" x14ac:dyDescent="0.2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  <c r="AM869" s="62"/>
      <c r="AN869" s="62"/>
      <c r="AO869" s="62"/>
    </row>
    <row r="870" spans="1:41" ht="12.75" customHeight="1" x14ac:dyDescent="0.2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  <c r="AM870" s="62"/>
      <c r="AN870" s="62"/>
      <c r="AO870" s="62"/>
    </row>
    <row r="871" spans="1:41" ht="12.75" customHeight="1" x14ac:dyDescent="0.2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  <c r="AM871" s="62"/>
      <c r="AN871" s="62"/>
      <c r="AO871" s="62"/>
    </row>
    <row r="872" spans="1:41" ht="12.75" customHeight="1" x14ac:dyDescent="0.2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  <c r="AM872" s="62"/>
      <c r="AN872" s="62"/>
      <c r="AO872" s="62"/>
    </row>
    <row r="873" spans="1:41" ht="12.75" customHeight="1" x14ac:dyDescent="0.2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  <c r="AM873" s="62"/>
      <c r="AN873" s="62"/>
      <c r="AO873" s="62"/>
    </row>
    <row r="874" spans="1:41" ht="12.75" customHeight="1" x14ac:dyDescent="0.2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  <c r="AM874" s="62"/>
      <c r="AN874" s="62"/>
      <c r="AO874" s="62"/>
    </row>
    <row r="875" spans="1:41" ht="12.75" customHeight="1" x14ac:dyDescent="0.2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  <c r="AM875" s="62"/>
      <c r="AN875" s="62"/>
      <c r="AO875" s="62"/>
    </row>
    <row r="876" spans="1:41" ht="12.75" customHeight="1" x14ac:dyDescent="0.2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  <c r="AM876" s="62"/>
      <c r="AN876" s="62"/>
      <c r="AO876" s="62"/>
    </row>
    <row r="877" spans="1:41" ht="12.75" customHeight="1" x14ac:dyDescent="0.2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  <c r="AO877" s="62"/>
    </row>
    <row r="878" spans="1:41" ht="12.75" customHeight="1" x14ac:dyDescent="0.2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  <c r="AO878" s="62"/>
    </row>
    <row r="879" spans="1:41" ht="12.75" customHeight="1" x14ac:dyDescent="0.2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  <c r="AM879" s="62"/>
      <c r="AN879" s="62"/>
      <c r="AO879" s="62"/>
    </row>
    <row r="880" spans="1:41" ht="12.75" customHeight="1" x14ac:dyDescent="0.2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  <c r="AM880" s="62"/>
      <c r="AN880" s="62"/>
      <c r="AO880" s="62"/>
    </row>
    <row r="881" spans="1:41" ht="12.75" customHeight="1" x14ac:dyDescent="0.2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  <c r="AM881" s="62"/>
      <c r="AN881" s="62"/>
      <c r="AO881" s="62"/>
    </row>
    <row r="882" spans="1:41" ht="12.75" customHeight="1" x14ac:dyDescent="0.2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  <c r="AO882" s="62"/>
    </row>
    <row r="883" spans="1:41" ht="12.75" customHeight="1" x14ac:dyDescent="0.2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  <c r="AM883" s="62"/>
      <c r="AN883" s="62"/>
      <c r="AO883" s="62"/>
    </row>
    <row r="884" spans="1:41" ht="12.75" customHeight="1" x14ac:dyDescent="0.2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  <c r="AO884" s="62"/>
    </row>
    <row r="885" spans="1:41" ht="12.75" customHeight="1" x14ac:dyDescent="0.2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  <c r="AM885" s="62"/>
      <c r="AN885" s="62"/>
      <c r="AO885" s="62"/>
    </row>
    <row r="886" spans="1:41" ht="12.75" customHeight="1" x14ac:dyDescent="0.2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  <c r="AO886" s="62"/>
    </row>
    <row r="887" spans="1:41" ht="12.75" customHeight="1" x14ac:dyDescent="0.2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/>
      <c r="AI887" s="62"/>
      <c r="AJ887" s="62"/>
      <c r="AK887" s="62"/>
      <c r="AL887" s="62"/>
      <c r="AM887" s="62"/>
      <c r="AN887" s="62"/>
      <c r="AO887" s="62"/>
    </row>
    <row r="888" spans="1:41" ht="12.75" customHeight="1" x14ac:dyDescent="0.2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/>
      <c r="AI888" s="62"/>
      <c r="AJ888" s="62"/>
      <c r="AK888" s="62"/>
      <c r="AL888" s="62"/>
      <c r="AM888" s="62"/>
      <c r="AN888" s="62"/>
      <c r="AO888" s="62"/>
    </row>
    <row r="889" spans="1:41" ht="12.75" customHeight="1" x14ac:dyDescent="0.2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  <c r="AM889" s="62"/>
      <c r="AN889" s="62"/>
      <c r="AO889" s="62"/>
    </row>
    <row r="890" spans="1:41" ht="12.75" customHeight="1" x14ac:dyDescent="0.2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  <c r="AM890" s="62"/>
      <c r="AN890" s="62"/>
      <c r="AO890" s="62"/>
    </row>
    <row r="891" spans="1:41" ht="12.75" customHeight="1" x14ac:dyDescent="0.2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  <c r="AO891" s="62"/>
    </row>
    <row r="892" spans="1:41" ht="12.75" customHeight="1" x14ac:dyDescent="0.2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  <c r="AO892" s="62"/>
    </row>
    <row r="893" spans="1:41" ht="12.75" customHeight="1" x14ac:dyDescent="0.2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  <c r="AM893" s="62"/>
      <c r="AN893" s="62"/>
      <c r="AO893" s="62"/>
    </row>
    <row r="894" spans="1:41" ht="12.75" customHeight="1" x14ac:dyDescent="0.2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  <c r="AM894" s="62"/>
      <c r="AN894" s="62"/>
      <c r="AO894" s="62"/>
    </row>
    <row r="895" spans="1:41" ht="12.75" customHeight="1" x14ac:dyDescent="0.2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  <c r="AM895" s="62"/>
      <c r="AN895" s="62"/>
      <c r="AO895" s="62"/>
    </row>
    <row r="896" spans="1:41" ht="12.75" customHeight="1" x14ac:dyDescent="0.2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  <c r="AM896" s="62"/>
      <c r="AN896" s="62"/>
      <c r="AO896" s="62"/>
    </row>
    <row r="897" spans="1:41" ht="12.75" customHeight="1" x14ac:dyDescent="0.2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  <c r="AO897" s="62"/>
    </row>
    <row r="898" spans="1:41" ht="12.75" customHeight="1" x14ac:dyDescent="0.2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  <c r="AM898" s="62"/>
      <c r="AN898" s="62"/>
      <c r="AO898" s="62"/>
    </row>
    <row r="899" spans="1:41" ht="12.75" customHeight="1" x14ac:dyDescent="0.2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/>
      <c r="AI899" s="62"/>
      <c r="AJ899" s="62"/>
      <c r="AK899" s="62"/>
      <c r="AL899" s="62"/>
      <c r="AM899" s="62"/>
      <c r="AN899" s="62"/>
      <c r="AO899" s="62"/>
    </row>
    <row r="900" spans="1:41" ht="12.75" customHeight="1" x14ac:dyDescent="0.2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/>
      <c r="AI900" s="62"/>
      <c r="AJ900" s="62"/>
      <c r="AK900" s="62"/>
      <c r="AL900" s="62"/>
      <c r="AM900" s="62"/>
      <c r="AN900" s="62"/>
      <c r="AO900" s="62"/>
    </row>
    <row r="901" spans="1:41" ht="12.75" customHeight="1" x14ac:dyDescent="0.2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/>
      <c r="AI901" s="62"/>
      <c r="AJ901" s="62"/>
      <c r="AK901" s="62"/>
      <c r="AL901" s="62"/>
      <c r="AM901" s="62"/>
      <c r="AN901" s="62"/>
      <c r="AO901" s="62"/>
    </row>
    <row r="902" spans="1:41" ht="12.75" customHeight="1" x14ac:dyDescent="0.2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/>
      <c r="AI902" s="62"/>
      <c r="AJ902" s="62"/>
      <c r="AK902" s="62"/>
      <c r="AL902" s="62"/>
      <c r="AM902" s="62"/>
      <c r="AN902" s="62"/>
      <c r="AO902" s="62"/>
    </row>
    <row r="903" spans="1:41" ht="12.75" customHeight="1" x14ac:dyDescent="0.2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  <c r="AM903" s="62"/>
      <c r="AN903" s="62"/>
      <c r="AO903" s="62"/>
    </row>
    <row r="904" spans="1:41" ht="12.75" customHeight="1" x14ac:dyDescent="0.2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/>
      <c r="AI904" s="62"/>
      <c r="AJ904" s="62"/>
      <c r="AK904" s="62"/>
      <c r="AL904" s="62"/>
      <c r="AM904" s="62"/>
      <c r="AN904" s="62"/>
      <c r="AO904" s="62"/>
    </row>
    <row r="905" spans="1:41" ht="12.75" customHeight="1" x14ac:dyDescent="0.2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/>
      <c r="AI905" s="62"/>
      <c r="AJ905" s="62"/>
      <c r="AK905" s="62"/>
      <c r="AL905" s="62"/>
      <c r="AM905" s="62"/>
      <c r="AN905" s="62"/>
      <c r="AO905" s="62"/>
    </row>
    <row r="906" spans="1:41" ht="12.75" customHeight="1" x14ac:dyDescent="0.2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/>
      <c r="AI906" s="62"/>
      <c r="AJ906" s="62"/>
      <c r="AK906" s="62"/>
      <c r="AL906" s="62"/>
      <c r="AM906" s="62"/>
      <c r="AN906" s="62"/>
      <c r="AO906" s="62"/>
    </row>
    <row r="907" spans="1:41" ht="12.75" customHeight="1" x14ac:dyDescent="0.2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  <c r="AM907" s="62"/>
      <c r="AN907" s="62"/>
      <c r="AO907" s="62"/>
    </row>
    <row r="908" spans="1:41" ht="12.75" customHeight="1" x14ac:dyDescent="0.2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/>
      <c r="AI908" s="62"/>
      <c r="AJ908" s="62"/>
      <c r="AK908" s="62"/>
      <c r="AL908" s="62"/>
      <c r="AM908" s="62"/>
      <c r="AN908" s="62"/>
      <c r="AO908" s="62"/>
    </row>
    <row r="909" spans="1:41" ht="12.75" customHeight="1" x14ac:dyDescent="0.2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2"/>
      <c r="AM909" s="62"/>
      <c r="AN909" s="62"/>
      <c r="AO909" s="62"/>
    </row>
    <row r="910" spans="1:41" ht="12.75" customHeight="1" x14ac:dyDescent="0.2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/>
      <c r="AI910" s="62"/>
      <c r="AJ910" s="62"/>
      <c r="AK910" s="62"/>
      <c r="AL910" s="62"/>
      <c r="AM910" s="62"/>
      <c r="AN910" s="62"/>
      <c r="AO910" s="62"/>
    </row>
    <row r="911" spans="1:41" ht="12.75" customHeight="1" x14ac:dyDescent="0.2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/>
      <c r="AI911" s="62"/>
      <c r="AJ911" s="62"/>
      <c r="AK911" s="62"/>
      <c r="AL911" s="62"/>
      <c r="AM911" s="62"/>
      <c r="AN911" s="62"/>
      <c r="AO911" s="62"/>
    </row>
    <row r="912" spans="1:41" ht="12.75" customHeight="1" x14ac:dyDescent="0.2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/>
      <c r="AI912" s="62"/>
      <c r="AJ912" s="62"/>
      <c r="AK912" s="62"/>
      <c r="AL912" s="62"/>
      <c r="AM912" s="62"/>
      <c r="AN912" s="62"/>
      <c r="AO912" s="62"/>
    </row>
    <row r="913" spans="1:41" ht="12.75" customHeight="1" x14ac:dyDescent="0.2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  <c r="AG913" s="62"/>
      <c r="AH913" s="62"/>
      <c r="AI913" s="62"/>
      <c r="AJ913" s="62"/>
      <c r="AK913" s="62"/>
      <c r="AL913" s="62"/>
      <c r="AM913" s="62"/>
      <c r="AN913" s="62"/>
      <c r="AO913" s="62"/>
    </row>
    <row r="914" spans="1:41" ht="12.75" customHeight="1" x14ac:dyDescent="0.2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/>
      <c r="AI914" s="62"/>
      <c r="AJ914" s="62"/>
      <c r="AK914" s="62"/>
      <c r="AL914" s="62"/>
      <c r="AM914" s="62"/>
      <c r="AN914" s="62"/>
      <c r="AO914" s="62"/>
    </row>
    <row r="915" spans="1:41" ht="12.75" customHeight="1" x14ac:dyDescent="0.2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/>
      <c r="AI915" s="62"/>
      <c r="AJ915" s="62"/>
      <c r="AK915" s="62"/>
      <c r="AL915" s="62"/>
      <c r="AM915" s="62"/>
      <c r="AN915" s="62"/>
      <c r="AO915" s="62"/>
    </row>
    <row r="916" spans="1:41" ht="12.75" customHeight="1" x14ac:dyDescent="0.2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/>
      <c r="AI916" s="62"/>
      <c r="AJ916" s="62"/>
      <c r="AK916" s="62"/>
      <c r="AL916" s="62"/>
      <c r="AM916" s="62"/>
      <c r="AN916" s="62"/>
      <c r="AO916" s="62"/>
    </row>
    <row r="917" spans="1:41" ht="12.75" customHeight="1" x14ac:dyDescent="0.2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  <c r="AM917" s="62"/>
      <c r="AN917" s="62"/>
      <c r="AO917" s="62"/>
    </row>
    <row r="918" spans="1:41" ht="12.75" customHeight="1" x14ac:dyDescent="0.2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  <c r="AM918" s="62"/>
      <c r="AN918" s="62"/>
      <c r="AO918" s="62"/>
    </row>
    <row r="919" spans="1:41" ht="12.75" customHeight="1" x14ac:dyDescent="0.2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/>
      <c r="AI919" s="62"/>
      <c r="AJ919" s="62"/>
      <c r="AK919" s="62"/>
      <c r="AL919" s="62"/>
      <c r="AM919" s="62"/>
      <c r="AN919" s="62"/>
      <c r="AO919" s="62"/>
    </row>
    <row r="920" spans="1:41" ht="12.75" customHeight="1" x14ac:dyDescent="0.2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41" ht="12.75" customHeight="1" x14ac:dyDescent="0.2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/>
      <c r="AI921" s="62"/>
      <c r="AJ921" s="62"/>
      <c r="AK921" s="62"/>
      <c r="AL921" s="62"/>
      <c r="AM921" s="62"/>
      <c r="AN921" s="62"/>
      <c r="AO921" s="62"/>
    </row>
    <row r="922" spans="1:41" ht="12.75" customHeight="1" x14ac:dyDescent="0.2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/>
      <c r="AI922" s="62"/>
      <c r="AJ922" s="62"/>
      <c r="AK922" s="62"/>
      <c r="AL922" s="62"/>
      <c r="AM922" s="62"/>
      <c r="AN922" s="62"/>
      <c r="AO922" s="62"/>
    </row>
    <row r="923" spans="1:41" ht="12.75" customHeight="1" x14ac:dyDescent="0.2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/>
      <c r="AI923" s="62"/>
      <c r="AJ923" s="62"/>
      <c r="AK923" s="62"/>
      <c r="AL923" s="62"/>
      <c r="AM923" s="62"/>
      <c r="AN923" s="62"/>
      <c r="AO923" s="62"/>
    </row>
    <row r="924" spans="1:41" ht="12.75" customHeight="1" x14ac:dyDescent="0.2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/>
      <c r="AI924" s="62"/>
      <c r="AJ924" s="62"/>
      <c r="AK924" s="62"/>
      <c r="AL924" s="62"/>
      <c r="AM924" s="62"/>
      <c r="AN924" s="62"/>
      <c r="AO924" s="62"/>
    </row>
    <row r="925" spans="1:41" ht="12.75" customHeight="1" x14ac:dyDescent="0.2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/>
      <c r="AI925" s="62"/>
      <c r="AJ925" s="62"/>
      <c r="AK925" s="62"/>
      <c r="AL925" s="62"/>
      <c r="AM925" s="62"/>
      <c r="AN925" s="62"/>
      <c r="AO925" s="62"/>
    </row>
    <row r="926" spans="1:41" ht="12.75" customHeight="1" x14ac:dyDescent="0.2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/>
      <c r="AI926" s="62"/>
      <c r="AJ926" s="62"/>
      <c r="AK926" s="62"/>
      <c r="AL926" s="62"/>
      <c r="AM926" s="62"/>
      <c r="AN926" s="62"/>
      <c r="AO926" s="62"/>
    </row>
    <row r="927" spans="1:41" ht="12.75" customHeight="1" x14ac:dyDescent="0.2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/>
      <c r="AI927" s="62"/>
      <c r="AJ927" s="62"/>
      <c r="AK927" s="62"/>
      <c r="AL927" s="62"/>
      <c r="AM927" s="62"/>
      <c r="AN927" s="62"/>
      <c r="AO927" s="62"/>
    </row>
    <row r="928" spans="1:41" ht="12.75" customHeight="1" x14ac:dyDescent="0.2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  <c r="AM928" s="62"/>
      <c r="AN928" s="62"/>
      <c r="AO928" s="62"/>
    </row>
    <row r="929" spans="1:41" ht="12.75" customHeight="1" x14ac:dyDescent="0.2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  <c r="AM929" s="62"/>
      <c r="AN929" s="62"/>
      <c r="AO929" s="62"/>
    </row>
    <row r="930" spans="1:41" ht="12.75" customHeight="1" x14ac:dyDescent="0.2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/>
      <c r="AI930" s="62"/>
      <c r="AJ930" s="62"/>
      <c r="AK930" s="62"/>
      <c r="AL930" s="62"/>
      <c r="AM930" s="62"/>
      <c r="AN930" s="62"/>
      <c r="AO930" s="62"/>
    </row>
    <row r="931" spans="1:41" ht="12.75" customHeight="1" x14ac:dyDescent="0.2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/>
      <c r="AI931" s="62"/>
      <c r="AJ931" s="62"/>
      <c r="AK931" s="62"/>
      <c r="AL931" s="62"/>
      <c r="AM931" s="62"/>
      <c r="AN931" s="62"/>
      <c r="AO931" s="62"/>
    </row>
    <row r="932" spans="1:41" ht="12.75" customHeight="1" x14ac:dyDescent="0.2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/>
      <c r="AI932" s="62"/>
      <c r="AJ932" s="62"/>
      <c r="AK932" s="62"/>
      <c r="AL932" s="62"/>
      <c r="AM932" s="62"/>
      <c r="AN932" s="62"/>
      <c r="AO932" s="62"/>
    </row>
    <row r="933" spans="1:41" ht="12.75" customHeight="1" x14ac:dyDescent="0.2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/>
      <c r="AI933" s="62"/>
      <c r="AJ933" s="62"/>
      <c r="AK933" s="62"/>
      <c r="AL933" s="62"/>
      <c r="AM933" s="62"/>
      <c r="AN933" s="62"/>
      <c r="AO933" s="62"/>
    </row>
    <row r="934" spans="1:41" ht="12.75" customHeight="1" x14ac:dyDescent="0.2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/>
      <c r="AI934" s="62"/>
      <c r="AJ934" s="62"/>
      <c r="AK934" s="62"/>
      <c r="AL934" s="62"/>
      <c r="AM934" s="62"/>
      <c r="AN934" s="62"/>
      <c r="AO934" s="62"/>
    </row>
    <row r="935" spans="1:41" ht="12.75" customHeight="1" x14ac:dyDescent="0.2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  <c r="AM935" s="62"/>
      <c r="AN935" s="62"/>
      <c r="AO935" s="62"/>
    </row>
    <row r="936" spans="1:41" ht="12.75" customHeight="1" x14ac:dyDescent="0.2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  <c r="AM936" s="62"/>
      <c r="AN936" s="62"/>
      <c r="AO936" s="62"/>
    </row>
    <row r="937" spans="1:41" ht="12.75" customHeight="1" x14ac:dyDescent="0.2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/>
      <c r="AI937" s="62"/>
      <c r="AJ937" s="62"/>
      <c r="AK937" s="62"/>
      <c r="AL937" s="62"/>
      <c r="AM937" s="62"/>
      <c r="AN937" s="62"/>
      <c r="AO937" s="62"/>
    </row>
    <row r="938" spans="1:41" ht="12.75" customHeight="1" x14ac:dyDescent="0.2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/>
      <c r="AI938" s="62"/>
      <c r="AJ938" s="62"/>
      <c r="AK938" s="62"/>
      <c r="AL938" s="62"/>
      <c r="AM938" s="62"/>
      <c r="AN938" s="62"/>
      <c r="AO938" s="62"/>
    </row>
    <row r="939" spans="1:41" ht="12.75" customHeight="1" x14ac:dyDescent="0.2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/>
      <c r="AI939" s="62"/>
      <c r="AJ939" s="62"/>
      <c r="AK939" s="62"/>
      <c r="AL939" s="62"/>
      <c r="AM939" s="62"/>
      <c r="AN939" s="62"/>
      <c r="AO939" s="62"/>
    </row>
    <row r="940" spans="1:41" ht="12.75" customHeight="1" x14ac:dyDescent="0.2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  <c r="AM940" s="62"/>
      <c r="AN940" s="62"/>
      <c r="AO940" s="62"/>
    </row>
    <row r="941" spans="1:41" ht="12.75" customHeight="1" x14ac:dyDescent="0.2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  <c r="AM941" s="62"/>
      <c r="AN941" s="62"/>
      <c r="AO941" s="62"/>
    </row>
    <row r="942" spans="1:41" ht="12.75" customHeight="1" x14ac:dyDescent="0.2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  <c r="AM942" s="62"/>
      <c r="AN942" s="62"/>
      <c r="AO942" s="62"/>
    </row>
    <row r="943" spans="1:41" ht="12.75" customHeight="1" x14ac:dyDescent="0.2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/>
      <c r="AI943" s="62"/>
      <c r="AJ943" s="62"/>
      <c r="AK943" s="62"/>
      <c r="AL943" s="62"/>
      <c r="AM943" s="62"/>
      <c r="AN943" s="62"/>
      <c r="AO943" s="62"/>
    </row>
    <row r="944" spans="1:41" ht="12.75" customHeight="1" x14ac:dyDescent="0.2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  <c r="AM944" s="62"/>
      <c r="AN944" s="62"/>
      <c r="AO944" s="62"/>
    </row>
    <row r="945" spans="1:41" ht="12.75" customHeight="1" x14ac:dyDescent="0.2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/>
      <c r="AI945" s="62"/>
      <c r="AJ945" s="62"/>
      <c r="AK945" s="62"/>
      <c r="AL945" s="62"/>
      <c r="AM945" s="62"/>
      <c r="AN945" s="62"/>
      <c r="AO945" s="62"/>
    </row>
    <row r="946" spans="1:41" ht="12.75" customHeight="1" x14ac:dyDescent="0.2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/>
      <c r="AI946" s="62"/>
      <c r="AJ946" s="62"/>
      <c r="AK946" s="62"/>
      <c r="AL946" s="62"/>
      <c r="AM946" s="62"/>
      <c r="AN946" s="62"/>
      <c r="AO946" s="62"/>
    </row>
    <row r="947" spans="1:41" ht="12.75" customHeight="1" x14ac:dyDescent="0.2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/>
      <c r="AI947" s="62"/>
      <c r="AJ947" s="62"/>
      <c r="AK947" s="62"/>
      <c r="AL947" s="62"/>
      <c r="AM947" s="62"/>
      <c r="AN947" s="62"/>
      <c r="AO947" s="62"/>
    </row>
    <row r="948" spans="1:41" ht="12.75" customHeight="1" x14ac:dyDescent="0.2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/>
      <c r="AI948" s="62"/>
      <c r="AJ948" s="62"/>
      <c r="AK948" s="62"/>
      <c r="AL948" s="62"/>
      <c r="AM948" s="62"/>
      <c r="AN948" s="62"/>
      <c r="AO948" s="62"/>
    </row>
    <row r="949" spans="1:41" ht="12.75" customHeight="1" x14ac:dyDescent="0.2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  <c r="AM949" s="62"/>
      <c r="AN949" s="62"/>
      <c r="AO949" s="62"/>
    </row>
    <row r="950" spans="1:41" ht="12.75" customHeight="1" x14ac:dyDescent="0.2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  <c r="AM950" s="62"/>
      <c r="AN950" s="62"/>
      <c r="AO950" s="62"/>
    </row>
    <row r="951" spans="1:41" ht="12.75" customHeight="1" x14ac:dyDescent="0.2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/>
      <c r="AI951" s="62"/>
      <c r="AJ951" s="62"/>
      <c r="AK951" s="62"/>
      <c r="AL951" s="62"/>
      <c r="AM951" s="62"/>
      <c r="AN951" s="62"/>
      <c r="AO951" s="62"/>
    </row>
    <row r="952" spans="1:41" ht="12.75" customHeight="1" x14ac:dyDescent="0.2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  <c r="AM952" s="62"/>
      <c r="AN952" s="62"/>
      <c r="AO952" s="62"/>
    </row>
    <row r="953" spans="1:41" ht="12.75" customHeight="1" x14ac:dyDescent="0.2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/>
      <c r="AI953" s="62"/>
      <c r="AJ953" s="62"/>
      <c r="AK953" s="62"/>
      <c r="AL953" s="62"/>
      <c r="AM953" s="62"/>
      <c r="AN953" s="62"/>
      <c r="AO953" s="62"/>
    </row>
    <row r="954" spans="1:41" ht="12.75" customHeight="1" x14ac:dyDescent="0.2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/>
      <c r="AI954" s="62"/>
      <c r="AJ954" s="62"/>
      <c r="AK954" s="62"/>
      <c r="AL954" s="62"/>
      <c r="AM954" s="62"/>
      <c r="AN954" s="62"/>
      <c r="AO954" s="62"/>
    </row>
    <row r="955" spans="1:41" ht="12.75" customHeight="1" x14ac:dyDescent="0.2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/>
      <c r="AI955" s="62"/>
      <c r="AJ955" s="62"/>
      <c r="AK955" s="62"/>
      <c r="AL955" s="62"/>
      <c r="AM955" s="62"/>
      <c r="AN955" s="62"/>
      <c r="AO955" s="62"/>
    </row>
    <row r="956" spans="1:41" ht="12.75" customHeight="1" x14ac:dyDescent="0.2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  <c r="AM956" s="62"/>
      <c r="AN956" s="62"/>
      <c r="AO956" s="62"/>
    </row>
    <row r="957" spans="1:41" ht="12.75" customHeight="1" x14ac:dyDescent="0.2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  <c r="AM957" s="62"/>
      <c r="AN957" s="62"/>
      <c r="AO957" s="62"/>
    </row>
    <row r="958" spans="1:41" ht="12.75" customHeight="1" x14ac:dyDescent="0.2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  <c r="AM958" s="62"/>
      <c r="AN958" s="62"/>
      <c r="AO958" s="62"/>
    </row>
    <row r="959" spans="1:41" ht="12.75" customHeight="1" x14ac:dyDescent="0.2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  <c r="AM959" s="62"/>
      <c r="AN959" s="62"/>
      <c r="AO959" s="62"/>
    </row>
    <row r="960" spans="1:41" ht="12.75" customHeight="1" x14ac:dyDescent="0.2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/>
      <c r="AI960" s="62"/>
      <c r="AJ960" s="62"/>
      <c r="AK960" s="62"/>
      <c r="AL960" s="62"/>
      <c r="AM960" s="62"/>
      <c r="AN960" s="62"/>
      <c r="AO960" s="62"/>
    </row>
    <row r="961" spans="1:41" ht="12.75" customHeight="1" x14ac:dyDescent="0.2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  <c r="AM961" s="62"/>
      <c r="AN961" s="62"/>
      <c r="AO961" s="62"/>
    </row>
    <row r="962" spans="1:41" ht="12.75" customHeight="1" x14ac:dyDescent="0.2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  <c r="AM962" s="62"/>
      <c r="AN962" s="62"/>
      <c r="AO962" s="62"/>
    </row>
    <row r="963" spans="1:41" ht="12.75" customHeight="1" x14ac:dyDescent="0.2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  <c r="AM963" s="62"/>
      <c r="AN963" s="62"/>
      <c r="AO963" s="62"/>
    </row>
    <row r="964" spans="1:41" ht="12.75" customHeight="1" x14ac:dyDescent="0.2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  <c r="AM964" s="62"/>
      <c r="AN964" s="62"/>
      <c r="AO964" s="62"/>
    </row>
    <row r="965" spans="1:41" ht="12.75" customHeight="1" x14ac:dyDescent="0.2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  <c r="AM965" s="62"/>
      <c r="AN965" s="62"/>
      <c r="AO965" s="62"/>
    </row>
    <row r="966" spans="1:41" ht="12.75" customHeight="1" x14ac:dyDescent="0.2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/>
      <c r="AI966" s="62"/>
      <c r="AJ966" s="62"/>
      <c r="AK966" s="62"/>
      <c r="AL966" s="62"/>
      <c r="AM966" s="62"/>
      <c r="AN966" s="62"/>
      <c r="AO966" s="62"/>
    </row>
    <row r="967" spans="1:41" ht="12.75" customHeight="1" x14ac:dyDescent="0.2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/>
      <c r="AI967" s="62"/>
      <c r="AJ967" s="62"/>
      <c r="AK967" s="62"/>
      <c r="AL967" s="62"/>
      <c r="AM967" s="62"/>
      <c r="AN967" s="62"/>
      <c r="AO967" s="62"/>
    </row>
    <row r="968" spans="1:41" ht="12.75" customHeight="1" x14ac:dyDescent="0.2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/>
      <c r="AI968" s="62"/>
      <c r="AJ968" s="62"/>
      <c r="AK968" s="62"/>
      <c r="AL968" s="62"/>
      <c r="AM968" s="62"/>
      <c r="AN968" s="62"/>
      <c r="AO968" s="62"/>
    </row>
    <row r="969" spans="1:41" ht="12.75" customHeight="1" x14ac:dyDescent="0.2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/>
      <c r="AH969" s="62"/>
      <c r="AI969" s="62"/>
      <c r="AJ969" s="62"/>
      <c r="AK969" s="62"/>
      <c r="AL969" s="62"/>
      <c r="AM969" s="62"/>
      <c r="AN969" s="62"/>
      <c r="AO969" s="62"/>
    </row>
    <row r="970" spans="1:41" ht="12.75" customHeight="1" x14ac:dyDescent="0.2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  <c r="AM970" s="62"/>
      <c r="AN970" s="62"/>
      <c r="AO970" s="62"/>
    </row>
    <row r="971" spans="1:41" ht="12.75" customHeight="1" x14ac:dyDescent="0.2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  <c r="AM971" s="62"/>
      <c r="AN971" s="62"/>
      <c r="AO971" s="62"/>
    </row>
    <row r="972" spans="1:41" ht="12.75" customHeight="1" x14ac:dyDescent="0.2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/>
      <c r="AI972" s="62"/>
      <c r="AJ972" s="62"/>
      <c r="AK972" s="62"/>
      <c r="AL972" s="62"/>
      <c r="AM972" s="62"/>
      <c r="AN972" s="62"/>
      <c r="AO972" s="62"/>
    </row>
    <row r="973" spans="1:41" ht="12.75" customHeight="1" x14ac:dyDescent="0.2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  <c r="AO973" s="62"/>
    </row>
    <row r="974" spans="1:41" ht="12.75" customHeight="1" x14ac:dyDescent="0.2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/>
      <c r="AI974" s="62"/>
      <c r="AJ974" s="62"/>
      <c r="AK974" s="62"/>
      <c r="AL974" s="62"/>
      <c r="AM974" s="62"/>
      <c r="AN974" s="62"/>
      <c r="AO974" s="62"/>
    </row>
    <row r="975" spans="1:41" ht="12.75" customHeight="1" x14ac:dyDescent="0.2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  <c r="AM975" s="62"/>
      <c r="AN975" s="62"/>
      <c r="AO975" s="62"/>
    </row>
    <row r="976" spans="1:41" ht="12.75" customHeight="1" x14ac:dyDescent="0.2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  <c r="AM976" s="62"/>
      <c r="AN976" s="62"/>
      <c r="AO976" s="62"/>
    </row>
    <row r="977" spans="1:41" ht="12.75" customHeight="1" x14ac:dyDescent="0.2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  <c r="AM977" s="62"/>
      <c r="AN977" s="62"/>
      <c r="AO977" s="62"/>
    </row>
    <row r="978" spans="1:41" ht="12.75" customHeight="1" x14ac:dyDescent="0.2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/>
      <c r="AI978" s="62"/>
      <c r="AJ978" s="62"/>
      <c r="AK978" s="62"/>
      <c r="AL978" s="62"/>
      <c r="AM978" s="62"/>
      <c r="AN978" s="62"/>
      <c r="AO978" s="62"/>
    </row>
    <row r="979" spans="1:41" ht="12.75" customHeight="1" x14ac:dyDescent="0.2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  <c r="AM979" s="62"/>
      <c r="AN979" s="62"/>
      <c r="AO979" s="62"/>
    </row>
    <row r="980" spans="1:41" ht="12.75" customHeight="1" x14ac:dyDescent="0.2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  <c r="AM980" s="62"/>
      <c r="AN980" s="62"/>
      <c r="AO980" s="62"/>
    </row>
    <row r="981" spans="1:41" ht="12.75" customHeight="1" x14ac:dyDescent="0.2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  <c r="AO981" s="62"/>
    </row>
    <row r="982" spans="1:41" ht="12.75" customHeight="1" x14ac:dyDescent="0.2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  <c r="AM982" s="62"/>
      <c r="AN982" s="62"/>
      <c r="AO982" s="62"/>
    </row>
    <row r="983" spans="1:41" ht="12.75" customHeight="1" x14ac:dyDescent="0.2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/>
      <c r="AI983" s="62"/>
      <c r="AJ983" s="62"/>
      <c r="AK983" s="62"/>
      <c r="AL983" s="62"/>
      <c r="AM983" s="62"/>
      <c r="AN983" s="62"/>
      <c r="AO983" s="62"/>
    </row>
    <row r="984" spans="1:41" ht="12.75" customHeight="1" x14ac:dyDescent="0.2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  <c r="AO984" s="62"/>
    </row>
    <row r="985" spans="1:41" ht="12.75" customHeight="1" x14ac:dyDescent="0.2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  <c r="AM985" s="62"/>
      <c r="AN985" s="62"/>
      <c r="AO985" s="62"/>
    </row>
    <row r="986" spans="1:41" ht="12.75" customHeight="1" x14ac:dyDescent="0.2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/>
      <c r="AI986" s="62"/>
      <c r="AJ986" s="62"/>
      <c r="AK986" s="62"/>
      <c r="AL986" s="62"/>
      <c r="AM986" s="62"/>
      <c r="AN986" s="62"/>
      <c r="AO986" s="62"/>
    </row>
    <row r="987" spans="1:41" ht="12.75" customHeight="1" x14ac:dyDescent="0.2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  <c r="AM987" s="62"/>
      <c r="AN987" s="62"/>
      <c r="AO987" s="62"/>
    </row>
    <row r="988" spans="1:41" ht="12.75" customHeight="1" x14ac:dyDescent="0.2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  <c r="AM988" s="62"/>
      <c r="AN988" s="62"/>
      <c r="AO988" s="62"/>
    </row>
    <row r="989" spans="1:41" ht="12.75" customHeight="1" x14ac:dyDescent="0.2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  <c r="AM989" s="62"/>
      <c r="AN989" s="62"/>
      <c r="AO989" s="62"/>
    </row>
    <row r="990" spans="1:41" ht="12.75" customHeight="1" x14ac:dyDescent="0.2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/>
      <c r="AI990" s="62"/>
      <c r="AJ990" s="62"/>
      <c r="AK990" s="62"/>
      <c r="AL990" s="62"/>
      <c r="AM990" s="62"/>
      <c r="AN990" s="62"/>
      <c r="AO990" s="62"/>
    </row>
    <row r="991" spans="1:41" ht="12.75" customHeight="1" x14ac:dyDescent="0.2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/>
      <c r="AI991" s="62"/>
      <c r="AJ991" s="62"/>
      <c r="AK991" s="62"/>
      <c r="AL991" s="62"/>
      <c r="AM991" s="62"/>
      <c r="AN991" s="62"/>
      <c r="AO991" s="62"/>
    </row>
    <row r="992" spans="1:41" ht="12.75" customHeight="1" x14ac:dyDescent="0.2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  <c r="AG992" s="62"/>
      <c r="AH992" s="62"/>
      <c r="AI992" s="62"/>
      <c r="AJ992" s="62"/>
      <c r="AK992" s="62"/>
      <c r="AL992" s="62"/>
      <c r="AM992" s="62"/>
      <c r="AN992" s="62"/>
      <c r="AO992" s="62"/>
    </row>
    <row r="993" spans="1:41" ht="12.75" customHeight="1" x14ac:dyDescent="0.2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/>
      <c r="AI993" s="62"/>
      <c r="AJ993" s="62"/>
      <c r="AK993" s="62"/>
      <c r="AL993" s="62"/>
      <c r="AM993" s="62"/>
      <c r="AN993" s="62"/>
      <c r="AO993" s="62"/>
    </row>
    <row r="994" spans="1:41" ht="12.75" customHeight="1" x14ac:dyDescent="0.2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  <c r="AM994" s="62"/>
      <c r="AN994" s="62"/>
      <c r="AO994" s="62"/>
    </row>
    <row r="995" spans="1:41" ht="12.75" customHeight="1" x14ac:dyDescent="0.2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/>
      <c r="AI995" s="62"/>
      <c r="AJ995" s="62"/>
      <c r="AK995" s="62"/>
      <c r="AL995" s="62"/>
      <c r="AM995" s="62"/>
      <c r="AN995" s="62"/>
      <c r="AO995" s="62"/>
    </row>
    <row r="996" spans="1:41" ht="12.75" customHeight="1" x14ac:dyDescent="0.2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/>
      <c r="AI996" s="62"/>
      <c r="AJ996" s="62"/>
      <c r="AK996" s="62"/>
      <c r="AL996" s="62"/>
      <c r="AM996" s="62"/>
      <c r="AN996" s="62"/>
      <c r="AO996" s="62"/>
    </row>
    <row r="997" spans="1:41" ht="12.75" customHeight="1" x14ac:dyDescent="0.2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/>
      <c r="AI997" s="62"/>
      <c r="AJ997" s="62"/>
      <c r="AK997" s="62"/>
      <c r="AL997" s="62"/>
      <c r="AM997" s="62"/>
      <c r="AN997" s="62"/>
      <c r="AO997" s="62"/>
    </row>
    <row r="998" spans="1:41" ht="12.75" customHeight="1" x14ac:dyDescent="0.2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  <c r="AG998" s="62"/>
      <c r="AH998" s="62"/>
      <c r="AI998" s="62"/>
      <c r="AJ998" s="62"/>
      <c r="AK998" s="62"/>
      <c r="AL998" s="62"/>
      <c r="AM998" s="62"/>
      <c r="AN998" s="62"/>
      <c r="AO998" s="62"/>
    </row>
    <row r="999" spans="1:41" ht="12.75" customHeight="1" x14ac:dyDescent="0.2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  <c r="AG999" s="62"/>
      <c r="AH999" s="62"/>
      <c r="AI999" s="62"/>
      <c r="AJ999" s="62"/>
      <c r="AK999" s="62"/>
      <c r="AL999" s="62"/>
      <c r="AM999" s="62"/>
      <c r="AN999" s="62"/>
      <c r="AO999" s="62"/>
    </row>
    <row r="1000" spans="1:41" ht="12.75" customHeight="1" x14ac:dyDescent="0.2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  <c r="AD1000" s="62"/>
      <c r="AE1000" s="62"/>
      <c r="AF1000" s="62"/>
      <c r="AG1000" s="62"/>
      <c r="AH1000" s="62"/>
      <c r="AI1000" s="62"/>
      <c r="AJ1000" s="62"/>
      <c r="AK1000" s="62"/>
      <c r="AL1000" s="62"/>
      <c r="AM1000" s="62"/>
      <c r="AN1000" s="62"/>
      <c r="AO1000" s="62"/>
    </row>
  </sheetData>
  <mergeCells count="63">
    <mergeCell ref="I2:U2"/>
    <mergeCell ref="I4:U4"/>
    <mergeCell ref="I127:K127"/>
    <mergeCell ref="I128:K128"/>
    <mergeCell ref="I116:U116"/>
    <mergeCell ref="I17:K17"/>
    <mergeCell ref="I16:K16"/>
    <mergeCell ref="I39:K39"/>
    <mergeCell ref="I14:K14"/>
    <mergeCell ref="I15:K15"/>
    <mergeCell ref="I38:K38"/>
    <mergeCell ref="I37:K37"/>
    <mergeCell ref="I13:K13"/>
    <mergeCell ref="I18:K18"/>
    <mergeCell ref="I40:K40"/>
    <mergeCell ref="I59:K59"/>
    <mergeCell ref="I61:K61"/>
    <mergeCell ref="I11:K11"/>
    <mergeCell ref="I12:K12"/>
    <mergeCell ref="I162:K162"/>
    <mergeCell ref="I156:K156"/>
    <mergeCell ref="I157:K157"/>
    <mergeCell ref="I158:K158"/>
    <mergeCell ref="I159:K159"/>
    <mergeCell ref="I160:K160"/>
    <mergeCell ref="I161:K161"/>
    <mergeCell ref="I109:K109"/>
    <mergeCell ref="I118:K118"/>
    <mergeCell ref="I146:K146"/>
    <mergeCell ref="I147:K147"/>
    <mergeCell ref="I155:K155"/>
    <mergeCell ref="I148:K148"/>
    <mergeCell ref="I149:K149"/>
    <mergeCell ref="I150:K150"/>
    <mergeCell ref="I151:K151"/>
    <mergeCell ref="I152:K152"/>
    <mergeCell ref="I153:K153"/>
    <mergeCell ref="I154:K154"/>
    <mergeCell ref="I145:K145"/>
    <mergeCell ref="I121:K121"/>
    <mergeCell ref="I122:K122"/>
    <mergeCell ref="I123:K123"/>
    <mergeCell ref="I124:K124"/>
    <mergeCell ref="I125:K125"/>
    <mergeCell ref="I141:K141"/>
    <mergeCell ref="I142:K142"/>
    <mergeCell ref="I143:K143"/>
    <mergeCell ref="I144:K144"/>
    <mergeCell ref="I119:K119"/>
    <mergeCell ref="I120:K120"/>
    <mergeCell ref="I136:K136"/>
    <mergeCell ref="I137:K137"/>
    <mergeCell ref="I138:K138"/>
    <mergeCell ref="I140:K140"/>
    <mergeCell ref="I139:K139"/>
    <mergeCell ref="I126:K126"/>
    <mergeCell ref="I135:K135"/>
    <mergeCell ref="I129:K129"/>
    <mergeCell ref="I134:K134"/>
    <mergeCell ref="I130:K130"/>
    <mergeCell ref="I131:K131"/>
    <mergeCell ref="I132:K132"/>
    <mergeCell ref="I133:K133"/>
  </mergeCells>
  <conditionalFormatting sqref="I59:K59">
    <cfRule type="expression" dxfId="27" priority="1">
      <formula>$F$37&lt;0</formula>
    </cfRule>
  </conditionalFormatting>
  <conditionalFormatting sqref="I59:K59">
    <cfRule type="expression" dxfId="26" priority="2">
      <formula>$F$59&gt;80</formula>
    </cfRule>
  </conditionalFormatting>
  <conditionalFormatting sqref="I59:K59">
    <cfRule type="expression" dxfId="25" priority="3">
      <formula>$G$60&lt;&gt;OK</formula>
    </cfRule>
  </conditionalFormatting>
  <conditionalFormatting sqref="I109:K109">
    <cfRule type="expression" dxfId="24" priority="4">
      <formula>$F$37&lt;=0</formula>
    </cfRule>
  </conditionalFormatting>
  <conditionalFormatting sqref="I109:K109">
    <cfRule type="expression" dxfId="23" priority="5">
      <formula>$F$59&gt;80</formula>
    </cfRule>
  </conditionalFormatting>
  <conditionalFormatting sqref="I109:K109">
    <cfRule type="expression" dxfId="22" priority="6">
      <formula>$G$60&lt;&gt;OK</formula>
    </cfRule>
  </conditionalFormatting>
  <conditionalFormatting sqref="V59:AE59">
    <cfRule type="expression" dxfId="21" priority="7">
      <formula>V37&lt;0</formula>
    </cfRule>
  </conditionalFormatting>
  <conditionalFormatting sqref="V59:AE59">
    <cfRule type="cellIs" dxfId="20" priority="8" operator="greaterThan">
      <formula>90</formula>
    </cfRule>
  </conditionalFormatting>
  <conditionalFormatting sqref="L59">
    <cfRule type="expression" dxfId="19" priority="9">
      <formula>L173&gt;0</formula>
    </cfRule>
  </conditionalFormatting>
  <conditionalFormatting sqref="M59">
    <cfRule type="expression" dxfId="18" priority="10">
      <formula>M173&gt;0</formula>
    </cfRule>
  </conditionalFormatting>
  <conditionalFormatting sqref="N59">
    <cfRule type="expression" dxfId="17" priority="11">
      <formula>N173&gt;0</formula>
    </cfRule>
  </conditionalFormatting>
  <conditionalFormatting sqref="O59">
    <cfRule type="expression" dxfId="16" priority="12">
      <formula>O173&gt;0</formula>
    </cfRule>
  </conditionalFormatting>
  <conditionalFormatting sqref="P59">
    <cfRule type="expression" dxfId="15" priority="13">
      <formula>P173&gt;0</formula>
    </cfRule>
  </conditionalFormatting>
  <conditionalFormatting sqref="Q59">
    <cfRule type="expression" dxfId="14" priority="14">
      <formula>Q173&gt;0</formula>
    </cfRule>
  </conditionalFormatting>
  <conditionalFormatting sqref="R59">
    <cfRule type="expression" dxfId="13" priority="15">
      <formula>R173&gt;0</formula>
    </cfRule>
  </conditionalFormatting>
  <conditionalFormatting sqref="S59">
    <cfRule type="expression" dxfId="12" priority="16">
      <formula>S173&gt;0</formula>
    </cfRule>
  </conditionalFormatting>
  <conditionalFormatting sqref="T59">
    <cfRule type="expression" dxfId="11" priority="17">
      <formula>T173&gt;0</formula>
    </cfRule>
  </conditionalFormatting>
  <conditionalFormatting sqref="U59">
    <cfRule type="expression" dxfId="10" priority="18">
      <formula>U173&gt;0</formula>
    </cfRule>
  </conditionalFormatting>
  <conditionalFormatting sqref="L109">
    <cfRule type="expression" dxfId="9" priority="19">
      <formula>L178&gt;0</formula>
    </cfRule>
  </conditionalFormatting>
  <conditionalFormatting sqref="M109">
    <cfRule type="expression" dxfId="8" priority="20">
      <formula>M178&gt;0</formula>
    </cfRule>
  </conditionalFormatting>
  <conditionalFormatting sqref="N109">
    <cfRule type="expression" dxfId="7" priority="21">
      <formula>N178&gt;0</formula>
    </cfRule>
  </conditionalFormatting>
  <conditionalFormatting sqref="O109">
    <cfRule type="expression" dxfId="6" priority="22">
      <formula>O178&gt;0</formula>
    </cfRule>
  </conditionalFormatting>
  <conditionalFormatting sqref="P109">
    <cfRule type="expression" dxfId="5" priority="23">
      <formula>P178&gt;0</formula>
    </cfRule>
  </conditionalFormatting>
  <conditionalFormatting sqref="Q109">
    <cfRule type="expression" dxfId="4" priority="24">
      <formula>Q178&gt;0</formula>
    </cfRule>
  </conditionalFormatting>
  <conditionalFormatting sqref="R109">
    <cfRule type="expression" dxfId="3" priority="25">
      <formula>R178&gt;0</formula>
    </cfRule>
  </conditionalFormatting>
  <conditionalFormatting sqref="S109">
    <cfRule type="expression" dxfId="2" priority="26">
      <formula>S178&gt;0</formula>
    </cfRule>
  </conditionalFormatting>
  <conditionalFormatting sqref="T109">
    <cfRule type="expression" dxfId="1" priority="27">
      <formula>T178&gt;0</formula>
    </cfRule>
  </conditionalFormatting>
  <conditionalFormatting sqref="U109">
    <cfRule type="expression" dxfId="0" priority="28">
      <formula>U178&gt;0</formula>
    </cfRule>
  </conditionalFormatting>
  <pageMargins left="0.7" right="0.7" top="0.75" bottom="0.75" header="0" footer="0"/>
  <pageSetup scale="71" orientation="landscape"/>
  <headerFooter>
    <oddFooter>&amp;C&amp;P/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>
      <pane ySplit="2" topLeftCell="A3" activePane="bottomLeft" state="frozen"/>
      <selection pane="bottomLeft" activeCell="B4" sqref="B4"/>
    </sheetView>
  </sheetViews>
  <sheetFormatPr defaultColWidth="11.21875" defaultRowHeight="15" customHeight="1" x14ac:dyDescent="0.2"/>
  <cols>
    <col min="1" max="1" width="3.77734375" customWidth="1"/>
    <col min="2" max="8" width="3.77734375" hidden="1" customWidth="1"/>
    <col min="9" max="31" width="9.109375" customWidth="1"/>
    <col min="32" max="41" width="7.109375" customWidth="1"/>
  </cols>
  <sheetData>
    <row r="1" spans="1:41" ht="39.75" customHeight="1" x14ac:dyDescent="0.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62"/>
      <c r="AH1" s="62"/>
      <c r="AI1" s="62"/>
      <c r="AJ1" s="62"/>
      <c r="AK1" s="62"/>
      <c r="AL1" s="62"/>
      <c r="AM1" s="62"/>
      <c r="AN1" s="62"/>
      <c r="AO1" s="62"/>
    </row>
    <row r="2" spans="1:41" ht="24.75" customHeight="1" x14ac:dyDescent="0.2">
      <c r="A2" s="15"/>
      <c r="B2" s="15"/>
      <c r="C2" s="15"/>
      <c r="D2" s="15"/>
      <c r="E2" s="15"/>
      <c r="F2" s="15"/>
      <c r="G2" s="15"/>
      <c r="H2" s="15"/>
      <c r="I2" s="352" t="s">
        <v>168</v>
      </c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74"/>
      <c r="AF2" s="15"/>
      <c r="AG2" s="62"/>
      <c r="AH2" s="62"/>
      <c r="AI2" s="62"/>
      <c r="AJ2" s="62"/>
      <c r="AK2" s="62"/>
      <c r="AL2" s="62"/>
      <c r="AM2" s="62"/>
      <c r="AN2" s="62"/>
      <c r="AO2" s="62"/>
    </row>
    <row r="3" spans="1:41" ht="19.5" customHeight="1" x14ac:dyDescent="0.2">
      <c r="A3" s="15"/>
      <c r="B3" s="15"/>
      <c r="C3" s="15"/>
      <c r="D3" s="15"/>
      <c r="E3" s="15"/>
      <c r="F3" s="15"/>
      <c r="G3" s="15"/>
      <c r="H3" s="15"/>
      <c r="I3" s="53"/>
      <c r="J3" s="53"/>
      <c r="K3" s="53"/>
      <c r="L3" s="53"/>
      <c r="M3" s="53"/>
      <c r="N3" s="53"/>
      <c r="O3" s="53"/>
      <c r="P3" s="53"/>
      <c r="Q3" s="53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5"/>
      <c r="AG3" s="62"/>
      <c r="AH3" s="62"/>
      <c r="AI3" s="62"/>
      <c r="AJ3" s="62"/>
      <c r="AK3" s="62"/>
      <c r="AL3" s="62"/>
      <c r="AM3" s="62"/>
      <c r="AN3" s="62"/>
      <c r="AO3" s="62"/>
    </row>
    <row r="4" spans="1:41" ht="19.5" customHeight="1" x14ac:dyDescent="0.2">
      <c r="A4" s="15"/>
      <c r="B4" s="15"/>
      <c r="C4" s="15"/>
      <c r="D4" s="15"/>
      <c r="E4" s="15"/>
      <c r="F4" s="15"/>
      <c r="G4" s="15"/>
      <c r="H4" s="15"/>
      <c r="I4" s="361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74"/>
      <c r="AF4" s="15"/>
      <c r="AG4" s="62"/>
      <c r="AH4" s="62"/>
      <c r="AI4" s="62"/>
      <c r="AJ4" s="62"/>
      <c r="AK4" s="62"/>
      <c r="AL4" s="62"/>
      <c r="AM4" s="62"/>
      <c r="AN4" s="62"/>
      <c r="AO4" s="62"/>
    </row>
    <row r="5" spans="1:41" ht="19.5" customHeight="1" x14ac:dyDescent="0.2">
      <c r="A5" s="15"/>
      <c r="B5" s="15"/>
      <c r="C5" s="15"/>
      <c r="D5" s="15"/>
      <c r="E5" s="15"/>
      <c r="F5" s="15"/>
      <c r="G5" s="15"/>
      <c r="H5" s="15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15"/>
      <c r="AG5" s="62"/>
      <c r="AH5" s="62"/>
      <c r="AI5" s="62"/>
      <c r="AJ5" s="62"/>
      <c r="AK5" s="62"/>
      <c r="AL5" s="62"/>
      <c r="AM5" s="62"/>
      <c r="AN5" s="62"/>
      <c r="AO5" s="62"/>
    </row>
    <row r="6" spans="1:41" ht="19.5" customHeight="1" x14ac:dyDescent="0.2">
      <c r="A6" s="15"/>
      <c r="B6" s="15"/>
      <c r="C6" s="15"/>
      <c r="D6" s="15"/>
      <c r="E6" s="15"/>
      <c r="F6" s="15"/>
      <c r="G6" s="15"/>
      <c r="H6" s="15"/>
      <c r="I6" s="53"/>
      <c r="J6" s="58"/>
      <c r="K6" s="53"/>
      <c r="L6" s="53"/>
      <c r="M6" s="53"/>
      <c r="N6" s="53"/>
      <c r="O6" s="147"/>
      <c r="P6" s="58"/>
      <c r="Q6" s="53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5"/>
      <c r="AG6" s="62"/>
      <c r="AH6" s="62"/>
      <c r="AI6" s="62"/>
      <c r="AJ6" s="62"/>
      <c r="AK6" s="62"/>
      <c r="AL6" s="62"/>
      <c r="AM6" s="62"/>
      <c r="AN6" s="62"/>
      <c r="AO6" s="62"/>
    </row>
    <row r="7" spans="1:41" ht="19.5" customHeight="1" x14ac:dyDescent="0.2">
      <c r="A7" s="15"/>
      <c r="B7" s="15"/>
      <c r="C7" s="15"/>
      <c r="D7" s="15"/>
      <c r="E7" s="15"/>
      <c r="F7" s="15"/>
      <c r="G7" s="15"/>
      <c r="H7" s="15"/>
      <c r="I7" s="53"/>
      <c r="J7" s="58"/>
      <c r="K7" s="57"/>
      <c r="L7" s="57"/>
      <c r="M7" s="57"/>
      <c r="N7" s="57"/>
      <c r="O7" s="57"/>
      <c r="P7" s="57"/>
      <c r="Q7" s="57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5"/>
      <c r="AG7" s="62"/>
      <c r="AH7" s="62"/>
      <c r="AI7" s="62"/>
      <c r="AJ7" s="62"/>
      <c r="AK7" s="62"/>
      <c r="AL7" s="62"/>
      <c r="AM7" s="62"/>
      <c r="AN7" s="62"/>
      <c r="AO7" s="62"/>
    </row>
    <row r="8" spans="1:41" ht="19.5" customHeight="1" x14ac:dyDescent="0.2">
      <c r="A8" s="15"/>
      <c r="B8" s="15"/>
      <c r="C8" s="15"/>
      <c r="D8" s="15"/>
      <c r="E8" s="15"/>
      <c r="F8" s="15"/>
      <c r="G8" s="15"/>
      <c r="H8" s="15"/>
      <c r="I8" s="53"/>
      <c r="J8" s="58"/>
      <c r="K8" s="57"/>
      <c r="L8" s="57"/>
      <c r="M8" s="57"/>
      <c r="N8" s="57"/>
      <c r="O8" s="57"/>
      <c r="P8" s="57"/>
      <c r="Q8" s="57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5"/>
      <c r="AG8" s="62"/>
      <c r="AH8" s="62"/>
      <c r="AI8" s="62"/>
      <c r="AJ8" s="62"/>
      <c r="AK8" s="62"/>
      <c r="AL8" s="62"/>
      <c r="AM8" s="62"/>
      <c r="AN8" s="62"/>
      <c r="AO8" s="62"/>
    </row>
    <row r="9" spans="1:41" ht="19.5" customHeight="1" x14ac:dyDescent="0.2">
      <c r="A9" s="15"/>
      <c r="B9" s="15"/>
      <c r="C9" s="15"/>
      <c r="D9" s="15"/>
      <c r="E9" s="15"/>
      <c r="F9" s="15"/>
      <c r="G9" s="15"/>
      <c r="H9" s="15"/>
      <c r="I9" s="53"/>
      <c r="J9" s="58"/>
      <c r="K9" s="57"/>
      <c r="L9" s="57"/>
      <c r="M9" s="57"/>
      <c r="N9" s="57"/>
      <c r="O9" s="57"/>
      <c r="P9" s="57"/>
      <c r="Q9" s="57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5"/>
      <c r="AG9" s="62"/>
      <c r="AH9" s="62"/>
      <c r="AI9" s="62"/>
      <c r="AJ9" s="62"/>
      <c r="AK9" s="62"/>
      <c r="AL9" s="62"/>
      <c r="AM9" s="62"/>
      <c r="AN9" s="62"/>
      <c r="AO9" s="62"/>
    </row>
    <row r="10" spans="1:41" ht="19.5" customHeight="1" x14ac:dyDescent="0.2">
      <c r="A10" s="15"/>
      <c r="B10" s="15"/>
      <c r="C10" s="15"/>
      <c r="D10" s="15"/>
      <c r="E10" s="15"/>
      <c r="F10" s="15"/>
      <c r="G10" s="15"/>
      <c r="H10" s="15"/>
      <c r="I10" s="146"/>
      <c r="J10" s="58"/>
      <c r="K10" s="57"/>
      <c r="L10" s="57"/>
      <c r="M10" s="57"/>
      <c r="N10" s="57"/>
      <c r="O10" s="57"/>
      <c r="P10" s="57"/>
      <c r="Q10" s="57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5"/>
      <c r="AG10" s="62"/>
      <c r="AH10" s="62"/>
      <c r="AI10" s="62"/>
      <c r="AJ10" s="62"/>
      <c r="AK10" s="62"/>
      <c r="AL10" s="62"/>
      <c r="AM10" s="62"/>
      <c r="AN10" s="62"/>
      <c r="AO10" s="62"/>
    </row>
    <row r="11" spans="1:41" ht="19.5" customHeight="1" x14ac:dyDescent="0.2">
      <c r="A11" s="15"/>
      <c r="B11" s="15"/>
      <c r="C11" s="15"/>
      <c r="D11" s="15"/>
      <c r="E11" s="15"/>
      <c r="F11" s="15"/>
      <c r="G11" s="15"/>
      <c r="H11" s="15"/>
      <c r="I11" s="363" t="s">
        <v>141</v>
      </c>
      <c r="J11" s="286"/>
      <c r="K11" s="282"/>
      <c r="L11" s="153" t="s">
        <v>142</v>
      </c>
      <c r="M11" s="153" t="s">
        <v>143</v>
      </c>
      <c r="N11" s="153" t="s">
        <v>144</v>
      </c>
      <c r="O11" s="153" t="s">
        <v>145</v>
      </c>
      <c r="P11" s="153" t="s">
        <v>146</v>
      </c>
      <c r="Q11" s="153" t="s">
        <v>147</v>
      </c>
      <c r="R11" s="153" t="s">
        <v>148</v>
      </c>
      <c r="S11" s="153" t="s">
        <v>149</v>
      </c>
      <c r="T11" s="153" t="s">
        <v>150</v>
      </c>
      <c r="U11" s="153" t="s">
        <v>151</v>
      </c>
      <c r="V11" s="153" t="s">
        <v>152</v>
      </c>
      <c r="W11" s="153" t="s">
        <v>153</v>
      </c>
      <c r="X11" s="153" t="s">
        <v>154</v>
      </c>
      <c r="Y11" s="153" t="s">
        <v>155</v>
      </c>
      <c r="Z11" s="153" t="s">
        <v>156</v>
      </c>
      <c r="AA11" s="153" t="s">
        <v>157</v>
      </c>
      <c r="AB11" s="153" t="s">
        <v>158</v>
      </c>
      <c r="AC11" s="153" t="s">
        <v>159</v>
      </c>
      <c r="AD11" s="153" t="s">
        <v>160</v>
      </c>
      <c r="AE11" s="153" t="s">
        <v>161</v>
      </c>
      <c r="AF11" s="15"/>
      <c r="AG11" s="62"/>
      <c r="AH11" s="62"/>
      <c r="AI11" s="62"/>
      <c r="AJ11" s="62"/>
      <c r="AK11" s="62"/>
      <c r="AL11" s="62"/>
      <c r="AM11" s="62"/>
      <c r="AN11" s="62"/>
      <c r="AO11" s="62"/>
    </row>
    <row r="12" spans="1:41" ht="19.5" customHeight="1" x14ac:dyDescent="0.2">
      <c r="A12" s="15"/>
      <c r="B12" s="15"/>
      <c r="C12" s="15"/>
      <c r="D12" s="15"/>
      <c r="E12" s="15"/>
      <c r="F12" s="15"/>
      <c r="G12" s="15"/>
      <c r="H12" s="15"/>
      <c r="I12" s="364"/>
      <c r="J12" s="312"/>
      <c r="K12" s="358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"/>
      <c r="AG12" s="62"/>
      <c r="AH12" s="62"/>
      <c r="AI12" s="62"/>
      <c r="AJ12" s="62"/>
      <c r="AK12" s="62"/>
      <c r="AL12" s="62"/>
      <c r="AM12" s="62"/>
      <c r="AN12" s="62"/>
      <c r="AO12" s="62"/>
    </row>
    <row r="13" spans="1:41" ht="19.5" customHeight="1" x14ac:dyDescent="0.2">
      <c r="A13" s="15"/>
      <c r="B13" s="15"/>
      <c r="C13" s="15"/>
      <c r="D13" s="15"/>
      <c r="E13" s="15"/>
      <c r="F13" s="15"/>
      <c r="G13" s="15"/>
      <c r="H13" s="15"/>
      <c r="I13" s="356"/>
      <c r="J13" s="298"/>
      <c r="K13" s="274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"/>
      <c r="AG13" s="62"/>
      <c r="AH13" s="62"/>
      <c r="AI13" s="62"/>
      <c r="AJ13" s="62"/>
      <c r="AK13" s="62"/>
      <c r="AL13" s="62"/>
      <c r="AM13" s="62"/>
      <c r="AN13" s="62"/>
      <c r="AO13" s="62"/>
    </row>
    <row r="14" spans="1:41" ht="19.5" customHeight="1" x14ac:dyDescent="0.2">
      <c r="A14" s="15"/>
      <c r="B14" s="15"/>
      <c r="C14" s="15"/>
      <c r="D14" s="15"/>
      <c r="E14" s="15"/>
      <c r="F14" s="15"/>
      <c r="G14" s="15"/>
      <c r="H14" s="15"/>
      <c r="I14" s="356"/>
      <c r="J14" s="298"/>
      <c r="K14" s="274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"/>
      <c r="AG14" s="62"/>
      <c r="AH14" s="62"/>
      <c r="AI14" s="62"/>
      <c r="AJ14" s="62"/>
      <c r="AK14" s="62"/>
      <c r="AL14" s="62"/>
      <c r="AM14" s="62"/>
      <c r="AN14" s="62"/>
      <c r="AO14" s="62"/>
    </row>
    <row r="15" spans="1:41" ht="19.5" customHeight="1" x14ac:dyDescent="0.2">
      <c r="A15" s="15"/>
      <c r="B15" s="15"/>
      <c r="C15" s="15"/>
      <c r="D15" s="15"/>
      <c r="E15" s="15"/>
      <c r="F15" s="15"/>
      <c r="G15" s="15"/>
      <c r="H15" s="15"/>
      <c r="I15" s="356"/>
      <c r="J15" s="298"/>
      <c r="K15" s="274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"/>
      <c r="AG15" s="62"/>
      <c r="AH15" s="62"/>
      <c r="AI15" s="62"/>
      <c r="AJ15" s="62"/>
      <c r="AK15" s="62"/>
      <c r="AL15" s="62"/>
      <c r="AM15" s="62"/>
      <c r="AN15" s="62"/>
      <c r="AO15" s="62"/>
    </row>
    <row r="16" spans="1:41" ht="19.5" customHeight="1" x14ac:dyDescent="0.2">
      <c r="A16" s="15"/>
      <c r="B16" s="15"/>
      <c r="C16" s="15"/>
      <c r="D16" s="15"/>
      <c r="E16" s="15"/>
      <c r="F16" s="15"/>
      <c r="G16" s="15"/>
      <c r="H16" s="15"/>
      <c r="I16" s="362" t="s">
        <v>169</v>
      </c>
      <c r="J16" s="286"/>
      <c r="K16" s="282"/>
      <c r="L16" s="161">
        <f t="shared" ref="L16:AE16" si="0">SUM(L17:L36)</f>
        <v>0</v>
      </c>
      <c r="M16" s="161">
        <f t="shared" si="0"/>
        <v>0</v>
      </c>
      <c r="N16" s="161">
        <f t="shared" si="0"/>
        <v>0</v>
      </c>
      <c r="O16" s="161">
        <f t="shared" si="0"/>
        <v>47.77</v>
      </c>
      <c r="P16" s="161">
        <f t="shared" si="0"/>
        <v>60.01</v>
      </c>
      <c r="Q16" s="161">
        <f t="shared" si="0"/>
        <v>72.38</v>
      </c>
      <c r="R16" s="161">
        <f t="shared" si="0"/>
        <v>84.86</v>
      </c>
      <c r="S16" s="161">
        <f t="shared" si="0"/>
        <v>97.48</v>
      </c>
      <c r="T16" s="161">
        <f t="shared" si="0"/>
        <v>110.22</v>
      </c>
      <c r="U16" s="161">
        <f t="shared" si="0"/>
        <v>123.08</v>
      </c>
      <c r="V16" s="161">
        <f t="shared" si="0"/>
        <v>136.08000000000001</v>
      </c>
      <c r="W16" s="161">
        <f t="shared" si="0"/>
        <v>149.21</v>
      </c>
      <c r="X16" s="161">
        <f t="shared" si="0"/>
        <v>162.46</v>
      </c>
      <c r="Y16" s="161">
        <f t="shared" si="0"/>
        <v>175.85</v>
      </c>
      <c r="Z16" s="161">
        <f t="shared" si="0"/>
        <v>189.38</v>
      </c>
      <c r="AA16" s="161">
        <f t="shared" si="0"/>
        <v>203.03</v>
      </c>
      <c r="AB16" s="161">
        <f t="shared" si="0"/>
        <v>216.83</v>
      </c>
      <c r="AC16" s="161">
        <f t="shared" si="0"/>
        <v>230.76</v>
      </c>
      <c r="AD16" s="161">
        <f t="shared" si="0"/>
        <v>244.83</v>
      </c>
      <c r="AE16" s="161">
        <f t="shared" si="0"/>
        <v>259.05</v>
      </c>
      <c r="AF16" s="15"/>
      <c r="AG16" s="62"/>
      <c r="AH16" s="62"/>
      <c r="AI16" s="62"/>
      <c r="AJ16" s="62"/>
      <c r="AK16" s="62"/>
      <c r="AL16" s="62"/>
      <c r="AM16" s="62"/>
      <c r="AN16" s="62"/>
      <c r="AO16" s="62"/>
    </row>
    <row r="17" spans="1:41" ht="19.5" customHeight="1" x14ac:dyDescent="0.2">
      <c r="A17" s="15"/>
      <c r="B17" s="15"/>
      <c r="C17" s="15"/>
      <c r="D17" s="15"/>
      <c r="E17" s="15"/>
      <c r="F17" s="15"/>
      <c r="G17" s="15"/>
      <c r="H17" s="15"/>
      <c r="I17" s="362" t="str">
        <f>"  Operação "&amp;Proposta!I14&amp;" - "&amp;Proposta!J14</f>
        <v xml:space="preserve">  Operação  - SCR</v>
      </c>
      <c r="J17" s="286"/>
      <c r="K17" s="28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5"/>
      <c r="AG17" s="62"/>
      <c r="AH17" s="62"/>
      <c r="AI17" s="62"/>
      <c r="AJ17" s="62"/>
      <c r="AK17" s="62"/>
      <c r="AL17" s="62"/>
      <c r="AM17" s="62"/>
      <c r="AN17" s="62"/>
      <c r="AO17" s="62"/>
    </row>
    <row r="18" spans="1:41" ht="19.5" customHeight="1" x14ac:dyDescent="0.2">
      <c r="A18" s="15"/>
      <c r="B18" s="15"/>
      <c r="C18" s="15"/>
      <c r="D18" s="15"/>
      <c r="E18" s="15"/>
      <c r="F18" s="15"/>
      <c r="G18" s="15"/>
      <c r="H18" s="15"/>
      <c r="I18" s="362" t="str">
        <f>"  Operação "&amp;Proposta!I15&amp;" - "&amp;Proposta!J15</f>
        <v xml:space="preserve">  Operação 1 - </v>
      </c>
      <c r="J18" s="286"/>
      <c r="K18" s="282"/>
      <c r="L18" s="162">
        <v>0</v>
      </c>
      <c r="M18" s="162">
        <v>0</v>
      </c>
      <c r="N18" s="162">
        <v>0</v>
      </c>
      <c r="O18" s="162">
        <v>47.77</v>
      </c>
      <c r="P18" s="162">
        <v>60.01</v>
      </c>
      <c r="Q18" s="162">
        <v>72.38</v>
      </c>
      <c r="R18" s="162">
        <v>84.86</v>
      </c>
      <c r="S18" s="162">
        <v>97.48</v>
      </c>
      <c r="T18" s="162">
        <v>110.22</v>
      </c>
      <c r="U18" s="162">
        <v>123.08</v>
      </c>
      <c r="V18" s="162">
        <v>136.08000000000001</v>
      </c>
      <c r="W18" s="162">
        <v>149.21</v>
      </c>
      <c r="X18" s="162">
        <v>162.46</v>
      </c>
      <c r="Y18" s="162">
        <v>175.85</v>
      </c>
      <c r="Z18" s="162">
        <v>189.38</v>
      </c>
      <c r="AA18" s="162">
        <v>203.03</v>
      </c>
      <c r="AB18" s="162">
        <v>216.83</v>
      </c>
      <c r="AC18" s="162">
        <v>230.76</v>
      </c>
      <c r="AD18" s="162">
        <v>244.83</v>
      </c>
      <c r="AE18" s="162">
        <v>259.05</v>
      </c>
      <c r="AF18" s="15"/>
      <c r="AG18" s="62"/>
      <c r="AH18" s="62"/>
      <c r="AI18" s="62"/>
      <c r="AJ18" s="62"/>
      <c r="AK18" s="62"/>
      <c r="AL18" s="62"/>
      <c r="AM18" s="62"/>
      <c r="AN18" s="62"/>
      <c r="AO18" s="62"/>
    </row>
    <row r="19" spans="1:41" ht="19.5" customHeight="1" x14ac:dyDescent="0.2">
      <c r="A19" s="15"/>
      <c r="B19" s="15"/>
      <c r="C19" s="15"/>
      <c r="D19" s="15"/>
      <c r="E19" s="15"/>
      <c r="F19" s="15"/>
      <c r="G19" s="15"/>
      <c r="H19" s="15"/>
      <c r="I19" s="163" t="str">
        <f>"  Operação "&amp;Proposta!I16&amp;" - "&amp;Proposta!J16</f>
        <v xml:space="preserve">  Operação 2 - </v>
      </c>
      <c r="J19" s="164"/>
      <c r="K19" s="165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5"/>
      <c r="AG19" s="62"/>
      <c r="AH19" s="62"/>
      <c r="AI19" s="62"/>
      <c r="AJ19" s="62"/>
      <c r="AK19" s="62"/>
      <c r="AL19" s="62"/>
      <c r="AM19" s="62"/>
      <c r="AN19" s="62"/>
      <c r="AO19" s="62"/>
    </row>
    <row r="20" spans="1:41" ht="19.5" customHeight="1" x14ac:dyDescent="0.2">
      <c r="A20" s="15"/>
      <c r="B20" s="15"/>
      <c r="C20" s="15"/>
      <c r="D20" s="15"/>
      <c r="E20" s="15"/>
      <c r="F20" s="15"/>
      <c r="G20" s="15"/>
      <c r="H20" s="15"/>
      <c r="I20" s="163" t="str">
        <f>"  Operação "&amp;Proposta!I17&amp;" - "&amp;Proposta!J17</f>
        <v xml:space="preserve">  Operação 3 - </v>
      </c>
      <c r="J20" s="164"/>
      <c r="K20" s="165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5"/>
      <c r="AG20" s="62"/>
      <c r="AH20" s="62"/>
      <c r="AI20" s="62"/>
      <c r="AJ20" s="62"/>
      <c r="AK20" s="62"/>
      <c r="AL20" s="62"/>
      <c r="AM20" s="62"/>
      <c r="AN20" s="62"/>
      <c r="AO20" s="62"/>
    </row>
    <row r="21" spans="1:41" ht="19.5" customHeight="1" x14ac:dyDescent="0.2">
      <c r="A21" s="15"/>
      <c r="B21" s="15"/>
      <c r="C21" s="15"/>
      <c r="D21" s="15"/>
      <c r="E21" s="15"/>
      <c r="F21" s="15"/>
      <c r="G21" s="15"/>
      <c r="H21" s="15"/>
      <c r="I21" s="163" t="str">
        <f>"  Operação "&amp;Proposta!I18&amp;" - "&amp;Proposta!J18</f>
        <v xml:space="preserve">  Operação 4 - </v>
      </c>
      <c r="J21" s="164"/>
      <c r="K21" s="165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5"/>
      <c r="AG21" s="62"/>
      <c r="AH21" s="62"/>
      <c r="AI21" s="62"/>
      <c r="AJ21" s="62"/>
      <c r="AK21" s="62"/>
      <c r="AL21" s="62"/>
      <c r="AM21" s="62"/>
      <c r="AN21" s="62"/>
      <c r="AO21" s="62"/>
    </row>
    <row r="22" spans="1:41" ht="19.5" customHeight="1" x14ac:dyDescent="0.2">
      <c r="A22" s="15"/>
      <c r="B22" s="15"/>
      <c r="C22" s="15"/>
      <c r="D22" s="15"/>
      <c r="E22" s="15"/>
      <c r="F22" s="15"/>
      <c r="G22" s="15"/>
      <c r="H22" s="15"/>
      <c r="I22" s="163" t="str">
        <f>"  Operação "&amp;Proposta!I19&amp;" - "&amp;Proposta!J19</f>
        <v xml:space="preserve">  Operação 5 - ,</v>
      </c>
      <c r="J22" s="164"/>
      <c r="K22" s="165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5"/>
      <c r="AG22" s="62"/>
      <c r="AH22" s="62"/>
      <c r="AI22" s="62"/>
      <c r="AJ22" s="62"/>
      <c r="AK22" s="62"/>
      <c r="AL22" s="62"/>
      <c r="AM22" s="62"/>
      <c r="AN22" s="62"/>
      <c r="AO22" s="62"/>
    </row>
    <row r="23" spans="1:41" ht="19.5" customHeight="1" x14ac:dyDescent="0.2">
      <c r="A23" s="15"/>
      <c r="B23" s="15"/>
      <c r="C23" s="15"/>
      <c r="D23" s="15"/>
      <c r="E23" s="15"/>
      <c r="F23" s="15"/>
      <c r="G23" s="15"/>
      <c r="H23" s="15"/>
      <c r="I23" s="163" t="str">
        <f>"  Operação "&amp;Proposta!I20&amp;" - "&amp;Proposta!J20</f>
        <v xml:space="preserve">  Operação 6 - </v>
      </c>
      <c r="J23" s="164"/>
      <c r="K23" s="165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5"/>
      <c r="AG23" s="62"/>
      <c r="AH23" s="62"/>
      <c r="AI23" s="62"/>
      <c r="AJ23" s="62"/>
      <c r="AK23" s="62"/>
      <c r="AL23" s="62"/>
      <c r="AM23" s="62"/>
      <c r="AN23" s="62"/>
      <c r="AO23" s="62"/>
    </row>
    <row r="24" spans="1:41" ht="19.5" customHeight="1" x14ac:dyDescent="0.2">
      <c r="A24" s="15"/>
      <c r="B24" s="15"/>
      <c r="C24" s="15"/>
      <c r="D24" s="15"/>
      <c r="E24" s="15"/>
      <c r="F24" s="15"/>
      <c r="G24" s="15"/>
      <c r="H24" s="15"/>
      <c r="I24" s="163" t="str">
        <f>"  Operação "&amp;Proposta!I21&amp;" - "&amp;Proposta!J21</f>
        <v xml:space="preserve">  Operação 7 - </v>
      </c>
      <c r="J24" s="164"/>
      <c r="K24" s="165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5"/>
      <c r="AG24" s="62"/>
      <c r="AH24" s="62"/>
      <c r="AI24" s="62"/>
      <c r="AJ24" s="62"/>
      <c r="AK24" s="62"/>
      <c r="AL24" s="62"/>
      <c r="AM24" s="62"/>
      <c r="AN24" s="62"/>
      <c r="AO24" s="62"/>
    </row>
    <row r="25" spans="1:41" ht="19.5" customHeight="1" x14ac:dyDescent="0.2">
      <c r="A25" s="15"/>
      <c r="B25" s="15"/>
      <c r="C25" s="15"/>
      <c r="D25" s="15"/>
      <c r="E25" s="15"/>
      <c r="F25" s="15"/>
      <c r="G25" s="15"/>
      <c r="H25" s="15"/>
      <c r="I25" s="163" t="str">
        <f>"  Operação "&amp;Proposta!I22&amp;" - "&amp;Proposta!J22</f>
        <v xml:space="preserve">  Operação 8 - </v>
      </c>
      <c r="J25" s="164"/>
      <c r="K25" s="165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5"/>
      <c r="AG25" s="62"/>
      <c r="AH25" s="62"/>
      <c r="AI25" s="62"/>
      <c r="AJ25" s="62"/>
      <c r="AK25" s="62"/>
      <c r="AL25" s="62"/>
      <c r="AM25" s="62"/>
      <c r="AN25" s="62"/>
      <c r="AO25" s="62"/>
    </row>
    <row r="26" spans="1:41" ht="19.5" customHeight="1" x14ac:dyDescent="0.2">
      <c r="A26" s="15"/>
      <c r="B26" s="15"/>
      <c r="C26" s="15"/>
      <c r="D26" s="15"/>
      <c r="E26" s="15"/>
      <c r="F26" s="15"/>
      <c r="G26" s="15"/>
      <c r="H26" s="15"/>
      <c r="I26" s="166" t="str">
        <f>"  Operação "&amp;Proposta!I23&amp;" - "&amp;Proposta!J23</f>
        <v xml:space="preserve">  Operação 9 - </v>
      </c>
      <c r="J26" s="167"/>
      <c r="K26" s="165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5"/>
      <c r="AG26" s="62"/>
      <c r="AH26" s="62"/>
      <c r="AI26" s="62"/>
      <c r="AJ26" s="62"/>
      <c r="AK26" s="62"/>
      <c r="AL26" s="62"/>
      <c r="AM26" s="62"/>
      <c r="AN26" s="62"/>
      <c r="AO26" s="62"/>
    </row>
    <row r="27" spans="1:41" ht="19.5" customHeight="1" x14ac:dyDescent="0.2">
      <c r="A27" s="15"/>
      <c r="B27" s="15"/>
      <c r="C27" s="15"/>
      <c r="D27" s="15"/>
      <c r="E27" s="15"/>
      <c r="F27" s="15"/>
      <c r="G27" s="15"/>
      <c r="H27" s="15"/>
      <c r="I27" s="166" t="str">
        <f>"  Operação "&amp;Proposta!I24&amp;" - "&amp;Proposta!J24</f>
        <v xml:space="preserve">  Operação 10 - </v>
      </c>
      <c r="J27" s="167"/>
      <c r="K27" s="165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5"/>
      <c r="AG27" s="62"/>
      <c r="AH27" s="62"/>
      <c r="AI27" s="62"/>
      <c r="AJ27" s="62"/>
      <c r="AK27" s="62"/>
      <c r="AL27" s="62"/>
      <c r="AM27" s="62"/>
      <c r="AN27" s="62"/>
      <c r="AO27" s="62"/>
    </row>
    <row r="28" spans="1:41" ht="19.5" customHeight="1" x14ac:dyDescent="0.2">
      <c r="A28" s="15"/>
      <c r="B28" s="15"/>
      <c r="C28" s="15"/>
      <c r="D28" s="15"/>
      <c r="E28" s="15"/>
      <c r="F28" s="15"/>
      <c r="G28" s="15"/>
      <c r="H28" s="15"/>
      <c r="I28" s="166" t="str">
        <f>"  Operação "&amp;Proposta!I25&amp;" - "&amp;Proposta!J25</f>
        <v xml:space="preserve">  Operação 11 - </v>
      </c>
      <c r="J28" s="167"/>
      <c r="K28" s="165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5"/>
      <c r="AG28" s="62"/>
      <c r="AH28" s="62"/>
      <c r="AI28" s="62"/>
      <c r="AJ28" s="62"/>
      <c r="AK28" s="62"/>
      <c r="AL28" s="62"/>
      <c r="AM28" s="62"/>
      <c r="AN28" s="62"/>
      <c r="AO28" s="62"/>
    </row>
    <row r="29" spans="1:41" ht="19.5" customHeight="1" x14ac:dyDescent="0.2">
      <c r="A29" s="15"/>
      <c r="B29" s="15"/>
      <c r="C29" s="15"/>
      <c r="D29" s="15"/>
      <c r="E29" s="15"/>
      <c r="F29" s="15"/>
      <c r="G29" s="15"/>
      <c r="H29" s="15"/>
      <c r="I29" s="166" t="str">
        <f>"  Operação "&amp;Proposta!I26&amp;" - "&amp;Proposta!J26</f>
        <v xml:space="preserve">  Operação 12 - </v>
      </c>
      <c r="J29" s="167"/>
      <c r="K29" s="165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5"/>
      <c r="AG29" s="62"/>
      <c r="AH29" s="62"/>
      <c r="AI29" s="62"/>
      <c r="AJ29" s="62"/>
      <c r="AK29" s="62"/>
      <c r="AL29" s="62"/>
      <c r="AM29" s="62"/>
      <c r="AN29" s="62"/>
      <c r="AO29" s="62"/>
    </row>
    <row r="30" spans="1:41" ht="19.5" customHeight="1" x14ac:dyDescent="0.2">
      <c r="A30" s="15"/>
      <c r="B30" s="15"/>
      <c r="C30" s="15"/>
      <c r="D30" s="15"/>
      <c r="E30" s="15"/>
      <c r="F30" s="15"/>
      <c r="G30" s="15"/>
      <c r="H30" s="15"/>
      <c r="I30" s="166" t="str">
        <f>"  Operação "&amp;Proposta!I27&amp;" - "&amp;Proposta!J27</f>
        <v xml:space="preserve">  Operação 13 - </v>
      </c>
      <c r="J30" s="167"/>
      <c r="K30" s="165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5"/>
      <c r="AG30" s="62"/>
      <c r="AH30" s="62"/>
      <c r="AI30" s="62"/>
      <c r="AJ30" s="62"/>
      <c r="AK30" s="62"/>
      <c r="AL30" s="62"/>
      <c r="AM30" s="62"/>
      <c r="AN30" s="62"/>
      <c r="AO30" s="62"/>
    </row>
    <row r="31" spans="1:41" ht="19.5" customHeight="1" x14ac:dyDescent="0.2">
      <c r="A31" s="15"/>
      <c r="B31" s="15"/>
      <c r="C31" s="15"/>
      <c r="D31" s="15"/>
      <c r="E31" s="15"/>
      <c r="F31" s="15"/>
      <c r="G31" s="15"/>
      <c r="H31" s="15"/>
      <c r="I31" s="166" t="str">
        <f>"  Operação "&amp;Proposta!I28&amp;" - "&amp;Proposta!J28</f>
        <v xml:space="preserve">  Operação 14 - </v>
      </c>
      <c r="J31" s="167"/>
      <c r="K31" s="165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5"/>
      <c r="AG31" s="62"/>
      <c r="AH31" s="62"/>
      <c r="AI31" s="62"/>
      <c r="AJ31" s="62"/>
      <c r="AK31" s="62"/>
      <c r="AL31" s="62"/>
      <c r="AM31" s="62"/>
      <c r="AN31" s="62"/>
      <c r="AO31" s="62"/>
    </row>
    <row r="32" spans="1:41" ht="19.5" customHeight="1" x14ac:dyDescent="0.2">
      <c r="A32" s="15"/>
      <c r="B32" s="15"/>
      <c r="C32" s="15"/>
      <c r="D32" s="15"/>
      <c r="E32" s="15"/>
      <c r="F32" s="15"/>
      <c r="G32" s="15"/>
      <c r="H32" s="15"/>
      <c r="I32" s="166" t="str">
        <f>"  Operação "&amp;Proposta!I29&amp;" - "&amp;Proposta!J29</f>
        <v xml:space="preserve">  Operação 15 - </v>
      </c>
      <c r="J32" s="167"/>
      <c r="K32" s="165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5"/>
      <c r="AG32" s="62"/>
      <c r="AH32" s="62"/>
      <c r="AI32" s="62"/>
      <c r="AJ32" s="62"/>
      <c r="AK32" s="62"/>
      <c r="AL32" s="62"/>
      <c r="AM32" s="62"/>
      <c r="AN32" s="62"/>
      <c r="AO32" s="62"/>
    </row>
    <row r="33" spans="1:41" ht="19.5" customHeight="1" x14ac:dyDescent="0.2">
      <c r="A33" s="15"/>
      <c r="B33" s="15"/>
      <c r="C33" s="15"/>
      <c r="D33" s="15"/>
      <c r="E33" s="15"/>
      <c r="F33" s="15"/>
      <c r="G33" s="15"/>
      <c r="H33" s="15"/>
      <c r="I33" s="166" t="str">
        <f>"  Operação "&amp;Proposta!I30&amp;" - "&amp;Proposta!J30</f>
        <v xml:space="preserve">  Operação 16 - </v>
      </c>
      <c r="J33" s="167"/>
      <c r="K33" s="165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5"/>
      <c r="AG33" s="62"/>
      <c r="AH33" s="62"/>
      <c r="AI33" s="62"/>
      <c r="AJ33" s="62"/>
      <c r="AK33" s="62"/>
      <c r="AL33" s="62"/>
      <c r="AM33" s="62"/>
      <c r="AN33" s="62"/>
      <c r="AO33" s="62"/>
    </row>
    <row r="34" spans="1:41" ht="19.5" customHeight="1" x14ac:dyDescent="0.2">
      <c r="A34" s="15"/>
      <c r="B34" s="15"/>
      <c r="C34" s="15"/>
      <c r="D34" s="15"/>
      <c r="E34" s="15"/>
      <c r="F34" s="15"/>
      <c r="G34" s="15"/>
      <c r="H34" s="15"/>
      <c r="I34" s="166" t="str">
        <f>"  Operação "&amp;Proposta!I31&amp;" - "&amp;Proposta!J31</f>
        <v xml:space="preserve">  Operação 17 - </v>
      </c>
      <c r="J34" s="167"/>
      <c r="K34" s="165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5"/>
      <c r="AG34" s="62"/>
      <c r="AH34" s="62"/>
      <c r="AI34" s="62"/>
      <c r="AJ34" s="62"/>
      <c r="AK34" s="62"/>
      <c r="AL34" s="62"/>
      <c r="AM34" s="62"/>
      <c r="AN34" s="62"/>
      <c r="AO34" s="62"/>
    </row>
    <row r="35" spans="1:41" ht="19.5" customHeight="1" x14ac:dyDescent="0.2">
      <c r="A35" s="15"/>
      <c r="B35" s="15"/>
      <c r="C35" s="15"/>
      <c r="D35" s="15"/>
      <c r="E35" s="15"/>
      <c r="F35" s="15"/>
      <c r="G35" s="15"/>
      <c r="H35" s="15"/>
      <c r="I35" s="166" t="str">
        <f>"  Operação "&amp;Proposta!I32&amp;" - "&amp;Proposta!J32</f>
        <v xml:space="preserve">  Operação 18 - </v>
      </c>
      <c r="J35" s="167"/>
      <c r="K35" s="165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5"/>
      <c r="AG35" s="62"/>
      <c r="AH35" s="62"/>
      <c r="AI35" s="62"/>
      <c r="AJ35" s="62"/>
      <c r="AK35" s="62"/>
      <c r="AL35" s="62"/>
      <c r="AM35" s="62"/>
      <c r="AN35" s="62"/>
      <c r="AO35" s="62"/>
    </row>
    <row r="36" spans="1:41" ht="19.5" customHeight="1" x14ac:dyDescent="0.2">
      <c r="A36" s="15"/>
      <c r="B36" s="15"/>
      <c r="C36" s="15"/>
      <c r="D36" s="15"/>
      <c r="E36" s="15"/>
      <c r="F36" s="15"/>
      <c r="G36" s="15"/>
      <c r="H36" s="15"/>
      <c r="I36" s="166" t="str">
        <f>"  Operação "&amp;Proposta!I33&amp;" - "&amp;Proposta!J33</f>
        <v xml:space="preserve">  Operação 19 - </v>
      </c>
      <c r="J36" s="167"/>
      <c r="K36" s="165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5"/>
      <c r="AG36" s="62"/>
      <c r="AH36" s="62"/>
      <c r="AI36" s="62"/>
      <c r="AJ36" s="62"/>
      <c r="AK36" s="62"/>
      <c r="AL36" s="62"/>
      <c r="AM36" s="62"/>
      <c r="AN36" s="62"/>
      <c r="AO36" s="62"/>
    </row>
    <row r="37" spans="1:41" ht="19.5" customHeight="1" x14ac:dyDescent="0.2">
      <c r="A37" s="15"/>
      <c r="B37" s="15"/>
      <c r="C37" s="15"/>
      <c r="D37" s="15"/>
      <c r="E37" s="15"/>
      <c r="F37" s="15"/>
      <c r="G37" s="15"/>
      <c r="H37" s="15"/>
      <c r="I37" s="356"/>
      <c r="J37" s="298"/>
      <c r="K37" s="274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"/>
      <c r="AG37" s="62"/>
      <c r="AH37" s="62"/>
      <c r="AI37" s="62"/>
      <c r="AJ37" s="62"/>
      <c r="AK37" s="62"/>
      <c r="AL37" s="62"/>
      <c r="AM37" s="62"/>
      <c r="AN37" s="62"/>
      <c r="AO37" s="62"/>
    </row>
    <row r="38" spans="1:41" ht="19.5" customHeight="1" x14ac:dyDescent="0.2">
      <c r="A38" s="15"/>
      <c r="B38" s="15"/>
      <c r="C38" s="15"/>
      <c r="D38" s="15"/>
      <c r="E38" s="15"/>
      <c r="F38" s="15"/>
      <c r="G38" s="15"/>
      <c r="H38" s="15"/>
      <c r="I38" s="362" t="s">
        <v>170</v>
      </c>
      <c r="J38" s="286"/>
      <c r="K38" s="282"/>
      <c r="L38" s="161">
        <f t="shared" ref="L38:AE38" si="1">SUM(L39:L58)</f>
        <v>0</v>
      </c>
      <c r="M38" s="161">
        <f t="shared" si="1"/>
        <v>0</v>
      </c>
      <c r="N38" s="161">
        <f t="shared" si="1"/>
        <v>0</v>
      </c>
      <c r="O38" s="161">
        <f t="shared" si="1"/>
        <v>1176.47</v>
      </c>
      <c r="P38" s="161">
        <f t="shared" si="1"/>
        <v>1176.47</v>
      </c>
      <c r="Q38" s="161">
        <f t="shared" si="1"/>
        <v>1176.47</v>
      </c>
      <c r="R38" s="161">
        <f t="shared" si="1"/>
        <v>1176.47</v>
      </c>
      <c r="S38" s="161">
        <f t="shared" si="1"/>
        <v>1176.47</v>
      </c>
      <c r="T38" s="161">
        <f t="shared" si="1"/>
        <v>1176.47</v>
      </c>
      <c r="U38" s="161">
        <f t="shared" si="1"/>
        <v>1176.47</v>
      </c>
      <c r="V38" s="161">
        <f t="shared" si="1"/>
        <v>1176.47</v>
      </c>
      <c r="W38" s="161">
        <f t="shared" si="1"/>
        <v>1176.47</v>
      </c>
      <c r="X38" s="161">
        <f t="shared" si="1"/>
        <v>1176.47</v>
      </c>
      <c r="Y38" s="161">
        <f t="shared" si="1"/>
        <v>1176.47</v>
      </c>
      <c r="Z38" s="161">
        <f t="shared" si="1"/>
        <v>1176.47</v>
      </c>
      <c r="AA38" s="161">
        <f t="shared" si="1"/>
        <v>1176.47</v>
      </c>
      <c r="AB38" s="161">
        <f t="shared" si="1"/>
        <v>1176.47</v>
      </c>
      <c r="AC38" s="161">
        <f t="shared" si="1"/>
        <v>1176.47</v>
      </c>
      <c r="AD38" s="161">
        <f t="shared" si="1"/>
        <v>1176.47</v>
      </c>
      <c r="AE38" s="161">
        <f t="shared" si="1"/>
        <v>1176.48</v>
      </c>
      <c r="AF38" s="15"/>
      <c r="AG38" s="62"/>
      <c r="AH38" s="62"/>
      <c r="AI38" s="62"/>
      <c r="AJ38" s="62"/>
      <c r="AK38" s="62"/>
      <c r="AL38" s="62"/>
      <c r="AM38" s="62"/>
      <c r="AN38" s="62"/>
      <c r="AO38" s="62"/>
    </row>
    <row r="39" spans="1:41" ht="19.5" customHeight="1" x14ac:dyDescent="0.2">
      <c r="A39" s="15"/>
      <c r="B39" s="15"/>
      <c r="C39" s="15"/>
      <c r="D39" s="15"/>
      <c r="E39" s="15"/>
      <c r="F39" s="15"/>
      <c r="G39" s="15"/>
      <c r="H39" s="15"/>
      <c r="I39" s="362" t="str">
        <f>"  Amort. Operação "&amp;Proposta!I14&amp;" - "&amp;Proposta!J14</f>
        <v xml:space="preserve">  Amort. Operação  - SCR</v>
      </c>
      <c r="J39" s="286"/>
      <c r="K39" s="28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5"/>
      <c r="AG39" s="62"/>
      <c r="AH39" s="62"/>
      <c r="AI39" s="62"/>
      <c r="AJ39" s="62"/>
      <c r="AK39" s="62"/>
      <c r="AL39" s="62"/>
      <c r="AM39" s="62"/>
      <c r="AN39" s="62"/>
      <c r="AO39" s="62"/>
    </row>
    <row r="40" spans="1:41" ht="19.5" customHeight="1" x14ac:dyDescent="0.2">
      <c r="A40" s="15"/>
      <c r="B40" s="15"/>
      <c r="C40" s="15"/>
      <c r="D40" s="15"/>
      <c r="E40" s="15"/>
      <c r="F40" s="15"/>
      <c r="G40" s="15"/>
      <c r="H40" s="15"/>
      <c r="I40" s="362" t="str">
        <f>"  Amort. Operação "&amp;Proposta!I15&amp;" - "&amp;Proposta!J15</f>
        <v xml:space="preserve">  Amort. Operação 1 - </v>
      </c>
      <c r="J40" s="286"/>
      <c r="K40" s="282"/>
      <c r="L40" s="162">
        <v>0</v>
      </c>
      <c r="M40" s="162">
        <v>0</v>
      </c>
      <c r="N40" s="162">
        <v>0</v>
      </c>
      <c r="O40" s="162">
        <v>1176.47</v>
      </c>
      <c r="P40" s="162">
        <v>1176.47</v>
      </c>
      <c r="Q40" s="162">
        <v>1176.47</v>
      </c>
      <c r="R40" s="162">
        <v>1176.47</v>
      </c>
      <c r="S40" s="162">
        <v>1176.47</v>
      </c>
      <c r="T40" s="162">
        <v>1176.47</v>
      </c>
      <c r="U40" s="162">
        <v>1176.47</v>
      </c>
      <c r="V40" s="162">
        <v>1176.47</v>
      </c>
      <c r="W40" s="162">
        <v>1176.47</v>
      </c>
      <c r="X40" s="162">
        <v>1176.47</v>
      </c>
      <c r="Y40" s="162">
        <v>1176.47</v>
      </c>
      <c r="Z40" s="162">
        <v>1176.47</v>
      </c>
      <c r="AA40" s="162">
        <v>1176.47</v>
      </c>
      <c r="AB40" s="162">
        <v>1176.47</v>
      </c>
      <c r="AC40" s="162">
        <v>1176.47</v>
      </c>
      <c r="AD40" s="162">
        <v>1176.47</v>
      </c>
      <c r="AE40" s="162">
        <v>1176.48</v>
      </c>
      <c r="AF40" s="15"/>
      <c r="AG40" s="62"/>
      <c r="AH40" s="62"/>
      <c r="AI40" s="62"/>
      <c r="AJ40" s="62"/>
      <c r="AK40" s="62"/>
      <c r="AL40" s="62"/>
      <c r="AM40" s="62"/>
      <c r="AN40" s="62"/>
      <c r="AO40" s="62"/>
    </row>
    <row r="41" spans="1:41" ht="19.5" customHeight="1" x14ac:dyDescent="0.2">
      <c r="A41" s="15"/>
      <c r="B41" s="15"/>
      <c r="C41" s="15"/>
      <c r="D41" s="15"/>
      <c r="E41" s="15"/>
      <c r="F41" s="15"/>
      <c r="G41" s="15"/>
      <c r="H41" s="15"/>
      <c r="I41" s="166" t="str">
        <f>"  Amort. Operação "&amp;Proposta!I16&amp;" - "&amp;Proposta!J16</f>
        <v xml:space="preserve">  Amort. Operação 2 - </v>
      </c>
      <c r="J41" s="166"/>
      <c r="K41" s="166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5"/>
      <c r="AG41" s="62"/>
      <c r="AH41" s="62"/>
      <c r="AI41" s="62"/>
      <c r="AJ41" s="62"/>
      <c r="AK41" s="62"/>
      <c r="AL41" s="62"/>
      <c r="AM41" s="62"/>
      <c r="AN41" s="62"/>
      <c r="AO41" s="62"/>
    </row>
    <row r="42" spans="1:41" ht="19.5" customHeight="1" x14ac:dyDescent="0.2">
      <c r="A42" s="15"/>
      <c r="B42" s="15"/>
      <c r="C42" s="15"/>
      <c r="D42" s="15"/>
      <c r="E42" s="15"/>
      <c r="F42" s="15"/>
      <c r="G42" s="15"/>
      <c r="H42" s="15"/>
      <c r="I42" s="166" t="str">
        <f>"  Amort. Operação "&amp;Proposta!I17&amp;" - "&amp;Proposta!J17</f>
        <v xml:space="preserve">  Amort. Operação 3 - </v>
      </c>
      <c r="J42" s="163"/>
      <c r="K42" s="165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5"/>
      <c r="AG42" s="62"/>
      <c r="AH42" s="62"/>
      <c r="AI42" s="62"/>
      <c r="AJ42" s="62"/>
      <c r="AK42" s="62"/>
      <c r="AL42" s="62"/>
      <c r="AM42" s="62"/>
      <c r="AN42" s="62"/>
      <c r="AO42" s="62"/>
    </row>
    <row r="43" spans="1:41" ht="19.5" customHeight="1" x14ac:dyDescent="0.2">
      <c r="A43" s="15"/>
      <c r="B43" s="15"/>
      <c r="C43" s="15"/>
      <c r="D43" s="15"/>
      <c r="E43" s="15"/>
      <c r="F43" s="15"/>
      <c r="G43" s="15"/>
      <c r="H43" s="15"/>
      <c r="I43" s="166" t="str">
        <f>"  Amort. Operação "&amp;Proposta!I18&amp;" - "&amp;Proposta!J18</f>
        <v xml:space="preserve">  Amort. Operação 4 - </v>
      </c>
      <c r="J43" s="163"/>
      <c r="K43" s="165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5"/>
      <c r="AG43" s="62"/>
      <c r="AH43" s="62"/>
      <c r="AI43" s="62"/>
      <c r="AJ43" s="62"/>
      <c r="AK43" s="62"/>
      <c r="AL43" s="62"/>
      <c r="AM43" s="62"/>
      <c r="AN43" s="62"/>
      <c r="AO43" s="62"/>
    </row>
    <row r="44" spans="1:41" ht="19.5" customHeight="1" x14ac:dyDescent="0.2">
      <c r="A44" s="15"/>
      <c r="B44" s="15"/>
      <c r="C44" s="15"/>
      <c r="D44" s="15"/>
      <c r="E44" s="15"/>
      <c r="F44" s="15"/>
      <c r="G44" s="15"/>
      <c r="H44" s="15"/>
      <c r="I44" s="166" t="str">
        <f>"  Amort. Operação "&amp;Proposta!I19&amp;" - "&amp;Proposta!J19</f>
        <v xml:space="preserve">  Amort. Operação 5 - ,</v>
      </c>
      <c r="J44" s="163"/>
      <c r="K44" s="165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5"/>
      <c r="AG44" s="62"/>
      <c r="AH44" s="62"/>
      <c r="AI44" s="62"/>
      <c r="AJ44" s="62"/>
      <c r="AK44" s="62"/>
      <c r="AL44" s="62"/>
      <c r="AM44" s="62"/>
      <c r="AN44" s="62"/>
      <c r="AO44" s="62"/>
    </row>
    <row r="45" spans="1:41" ht="19.5" customHeight="1" x14ac:dyDescent="0.2">
      <c r="A45" s="15"/>
      <c r="B45" s="15"/>
      <c r="C45" s="15"/>
      <c r="D45" s="15"/>
      <c r="E45" s="15"/>
      <c r="F45" s="15"/>
      <c r="G45" s="15"/>
      <c r="H45" s="15"/>
      <c r="I45" s="166" t="str">
        <f>"  Amort. Operação "&amp;Proposta!I20&amp;" - "&amp;Proposta!J20</f>
        <v xml:space="preserve">  Amort. Operação 6 - </v>
      </c>
      <c r="J45" s="163"/>
      <c r="K45" s="165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5"/>
      <c r="AG45" s="62"/>
      <c r="AH45" s="62"/>
      <c r="AI45" s="62"/>
      <c r="AJ45" s="62"/>
      <c r="AK45" s="62"/>
      <c r="AL45" s="62"/>
      <c r="AM45" s="62"/>
      <c r="AN45" s="62"/>
      <c r="AO45" s="62"/>
    </row>
    <row r="46" spans="1:41" ht="19.5" customHeight="1" x14ac:dyDescent="0.2">
      <c r="A46" s="15"/>
      <c r="B46" s="15"/>
      <c r="C46" s="15"/>
      <c r="D46" s="15"/>
      <c r="E46" s="15"/>
      <c r="F46" s="15"/>
      <c r="G46" s="15"/>
      <c r="H46" s="15"/>
      <c r="I46" s="166" t="str">
        <f>"  Amort. Operação "&amp;Proposta!I21&amp;" - "&amp;Proposta!J21</f>
        <v xml:space="preserve">  Amort. Operação 7 - </v>
      </c>
      <c r="J46" s="163"/>
      <c r="K46" s="165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5"/>
      <c r="AG46" s="62"/>
      <c r="AH46" s="62"/>
      <c r="AI46" s="62"/>
      <c r="AJ46" s="62"/>
      <c r="AK46" s="62"/>
      <c r="AL46" s="62"/>
      <c r="AM46" s="62"/>
      <c r="AN46" s="62"/>
      <c r="AO46" s="62"/>
    </row>
    <row r="47" spans="1:41" ht="19.5" customHeight="1" x14ac:dyDescent="0.2">
      <c r="A47" s="15"/>
      <c r="B47" s="15"/>
      <c r="C47" s="15"/>
      <c r="D47" s="15"/>
      <c r="E47" s="15"/>
      <c r="F47" s="15"/>
      <c r="G47" s="15"/>
      <c r="H47" s="15"/>
      <c r="I47" s="166" t="str">
        <f>"  Amort. Operação "&amp;Proposta!I22&amp;" - "&amp;Proposta!J22</f>
        <v xml:space="preserve">  Amort. Operação 8 - </v>
      </c>
      <c r="J47" s="163"/>
      <c r="K47" s="165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5"/>
      <c r="AG47" s="62"/>
      <c r="AH47" s="62"/>
      <c r="AI47" s="62"/>
      <c r="AJ47" s="62"/>
      <c r="AK47" s="62"/>
      <c r="AL47" s="62"/>
      <c r="AM47" s="62"/>
      <c r="AN47" s="62"/>
      <c r="AO47" s="62"/>
    </row>
    <row r="48" spans="1:41" ht="19.5" customHeight="1" x14ac:dyDescent="0.2">
      <c r="A48" s="15"/>
      <c r="B48" s="15"/>
      <c r="C48" s="15"/>
      <c r="D48" s="15"/>
      <c r="E48" s="15"/>
      <c r="F48" s="15"/>
      <c r="G48" s="15"/>
      <c r="H48" s="15"/>
      <c r="I48" s="166" t="str">
        <f>"  Amort. Operação "&amp;Proposta!I23&amp;" - "&amp;Proposta!J23</f>
        <v xml:space="preserve">  Amort. Operação 9 - </v>
      </c>
      <c r="J48" s="163"/>
      <c r="K48" s="165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5"/>
      <c r="AG48" s="62"/>
      <c r="AH48" s="62"/>
      <c r="AI48" s="62"/>
      <c r="AJ48" s="62"/>
      <c r="AK48" s="62"/>
      <c r="AL48" s="62"/>
      <c r="AM48" s="62"/>
      <c r="AN48" s="62"/>
      <c r="AO48" s="62"/>
    </row>
    <row r="49" spans="1:41" ht="19.5" customHeight="1" x14ac:dyDescent="0.2">
      <c r="A49" s="15"/>
      <c r="B49" s="15"/>
      <c r="C49" s="15"/>
      <c r="D49" s="15"/>
      <c r="E49" s="15"/>
      <c r="F49" s="15"/>
      <c r="G49" s="15"/>
      <c r="H49" s="15"/>
      <c r="I49" s="166" t="str">
        <f>"  Amort. Operação "&amp;Proposta!I24&amp;" - "&amp;Proposta!J24</f>
        <v xml:space="preserve">  Amort. Operação 10 - </v>
      </c>
      <c r="J49" s="163"/>
      <c r="K49" s="165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5"/>
      <c r="AG49" s="62"/>
      <c r="AH49" s="62"/>
      <c r="AI49" s="62"/>
      <c r="AJ49" s="62"/>
      <c r="AK49" s="62"/>
      <c r="AL49" s="62"/>
      <c r="AM49" s="62"/>
      <c r="AN49" s="62"/>
      <c r="AO49" s="62"/>
    </row>
    <row r="50" spans="1:41" ht="19.5" customHeight="1" x14ac:dyDescent="0.2">
      <c r="A50" s="15"/>
      <c r="B50" s="15"/>
      <c r="C50" s="15"/>
      <c r="D50" s="15"/>
      <c r="E50" s="15"/>
      <c r="F50" s="15"/>
      <c r="G50" s="15"/>
      <c r="H50" s="15"/>
      <c r="I50" s="166" t="str">
        <f>"  Amort. Operação "&amp;Proposta!I25&amp;" - "&amp;Proposta!J25</f>
        <v xml:space="preserve">  Amort. Operação 11 - </v>
      </c>
      <c r="J50" s="163"/>
      <c r="K50" s="165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5"/>
      <c r="AG50" s="62"/>
      <c r="AH50" s="62"/>
      <c r="AI50" s="62"/>
      <c r="AJ50" s="62"/>
      <c r="AK50" s="62"/>
      <c r="AL50" s="62"/>
      <c r="AM50" s="62"/>
      <c r="AN50" s="62"/>
      <c r="AO50" s="62"/>
    </row>
    <row r="51" spans="1:41" ht="19.5" customHeight="1" x14ac:dyDescent="0.2">
      <c r="A51" s="15"/>
      <c r="B51" s="15"/>
      <c r="C51" s="15"/>
      <c r="D51" s="15"/>
      <c r="E51" s="15"/>
      <c r="F51" s="15"/>
      <c r="G51" s="15"/>
      <c r="H51" s="15"/>
      <c r="I51" s="166" t="str">
        <f>"  Amort. Operação "&amp;Proposta!I26&amp;" - "&amp;Proposta!J26</f>
        <v xml:space="preserve">  Amort. Operação 12 - </v>
      </c>
      <c r="J51" s="163"/>
      <c r="K51" s="165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5"/>
      <c r="AG51" s="62"/>
      <c r="AH51" s="62"/>
      <c r="AI51" s="62"/>
      <c r="AJ51" s="62"/>
      <c r="AK51" s="62"/>
      <c r="AL51" s="62"/>
      <c r="AM51" s="62"/>
      <c r="AN51" s="62"/>
      <c r="AO51" s="62"/>
    </row>
    <row r="52" spans="1:41" ht="19.5" customHeight="1" x14ac:dyDescent="0.2">
      <c r="A52" s="15"/>
      <c r="B52" s="15"/>
      <c r="C52" s="15"/>
      <c r="D52" s="15"/>
      <c r="E52" s="15"/>
      <c r="F52" s="15"/>
      <c r="G52" s="15"/>
      <c r="H52" s="15"/>
      <c r="I52" s="166" t="str">
        <f>"  Amort. Operação "&amp;Proposta!I27&amp;" - "&amp;Proposta!J27</f>
        <v xml:space="preserve">  Amort. Operação 13 - </v>
      </c>
      <c r="J52" s="163"/>
      <c r="K52" s="165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5"/>
      <c r="AG52" s="62"/>
      <c r="AH52" s="62"/>
      <c r="AI52" s="62"/>
      <c r="AJ52" s="62"/>
      <c r="AK52" s="62"/>
      <c r="AL52" s="62"/>
      <c r="AM52" s="62"/>
      <c r="AN52" s="62"/>
      <c r="AO52" s="62"/>
    </row>
    <row r="53" spans="1:41" ht="19.5" customHeight="1" x14ac:dyDescent="0.2">
      <c r="A53" s="15"/>
      <c r="B53" s="15"/>
      <c r="C53" s="15"/>
      <c r="D53" s="15"/>
      <c r="E53" s="15"/>
      <c r="F53" s="15"/>
      <c r="G53" s="15"/>
      <c r="H53" s="15"/>
      <c r="I53" s="166" t="str">
        <f>"  Amort. Operação "&amp;Proposta!I28&amp;" - "&amp;Proposta!J28</f>
        <v xml:space="preserve">  Amort. Operação 14 - </v>
      </c>
      <c r="J53" s="163"/>
      <c r="K53" s="165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5"/>
      <c r="AG53" s="62"/>
      <c r="AH53" s="62"/>
      <c r="AI53" s="62"/>
      <c r="AJ53" s="62"/>
      <c r="AK53" s="62"/>
      <c r="AL53" s="62"/>
      <c r="AM53" s="62"/>
      <c r="AN53" s="62"/>
      <c r="AO53" s="62"/>
    </row>
    <row r="54" spans="1:41" ht="19.5" customHeight="1" x14ac:dyDescent="0.2">
      <c r="A54" s="15"/>
      <c r="B54" s="15"/>
      <c r="C54" s="15"/>
      <c r="D54" s="15"/>
      <c r="E54" s="15"/>
      <c r="F54" s="15"/>
      <c r="G54" s="15"/>
      <c r="H54" s="15"/>
      <c r="I54" s="166" t="str">
        <f>"  Amort. Operação "&amp;Proposta!I29&amp;" - "&amp;Proposta!J29</f>
        <v xml:space="preserve">  Amort. Operação 15 - </v>
      </c>
      <c r="J54" s="163"/>
      <c r="K54" s="165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5"/>
      <c r="AG54" s="62"/>
      <c r="AH54" s="62"/>
      <c r="AI54" s="62"/>
      <c r="AJ54" s="62"/>
      <c r="AK54" s="62"/>
      <c r="AL54" s="62"/>
      <c r="AM54" s="62"/>
      <c r="AN54" s="62"/>
      <c r="AO54" s="62"/>
    </row>
    <row r="55" spans="1:41" ht="19.5" customHeight="1" x14ac:dyDescent="0.2">
      <c r="A55" s="15"/>
      <c r="B55" s="15"/>
      <c r="C55" s="15"/>
      <c r="D55" s="15"/>
      <c r="E55" s="15"/>
      <c r="F55" s="15"/>
      <c r="G55" s="15"/>
      <c r="H55" s="15"/>
      <c r="I55" s="166" t="str">
        <f>"  Amort. Operação "&amp;Proposta!I30&amp;" - "&amp;Proposta!J30</f>
        <v xml:space="preserve">  Amort. Operação 16 - </v>
      </c>
      <c r="J55" s="163"/>
      <c r="K55" s="165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5"/>
      <c r="AG55" s="62"/>
      <c r="AH55" s="62"/>
      <c r="AI55" s="62"/>
      <c r="AJ55" s="62"/>
      <c r="AK55" s="62"/>
      <c r="AL55" s="62"/>
      <c r="AM55" s="62"/>
      <c r="AN55" s="62"/>
      <c r="AO55" s="62"/>
    </row>
    <row r="56" spans="1:41" ht="19.5" customHeight="1" x14ac:dyDescent="0.2">
      <c r="A56" s="15"/>
      <c r="B56" s="15"/>
      <c r="C56" s="15"/>
      <c r="D56" s="15"/>
      <c r="E56" s="15"/>
      <c r="F56" s="15"/>
      <c r="G56" s="15"/>
      <c r="H56" s="15"/>
      <c r="I56" s="166" t="str">
        <f>"  Amort. Operação "&amp;Proposta!I31&amp;" - "&amp;Proposta!J31</f>
        <v xml:space="preserve">  Amort. Operação 17 - </v>
      </c>
      <c r="J56" s="163"/>
      <c r="K56" s="165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5"/>
      <c r="AG56" s="62"/>
      <c r="AH56" s="62"/>
      <c r="AI56" s="62"/>
      <c r="AJ56" s="62"/>
      <c r="AK56" s="62"/>
      <c r="AL56" s="62"/>
      <c r="AM56" s="62"/>
      <c r="AN56" s="62"/>
      <c r="AO56" s="62"/>
    </row>
    <row r="57" spans="1:41" ht="19.5" customHeight="1" x14ac:dyDescent="0.2">
      <c r="A57" s="15"/>
      <c r="B57" s="15"/>
      <c r="C57" s="15"/>
      <c r="D57" s="15"/>
      <c r="E57" s="15"/>
      <c r="F57" s="15"/>
      <c r="G57" s="15"/>
      <c r="H57" s="15"/>
      <c r="I57" s="166" t="str">
        <f>"  Amort. Operação "&amp;Proposta!I32&amp;" - "&amp;Proposta!J32</f>
        <v xml:space="preserve">  Amort. Operação 18 - </v>
      </c>
      <c r="J57" s="163"/>
      <c r="K57" s="165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5"/>
      <c r="AG57" s="62"/>
      <c r="AH57" s="62"/>
      <c r="AI57" s="62"/>
      <c r="AJ57" s="62"/>
      <c r="AK57" s="62"/>
      <c r="AL57" s="62"/>
      <c r="AM57" s="62"/>
      <c r="AN57" s="62"/>
      <c r="AO57" s="62"/>
    </row>
    <row r="58" spans="1:41" ht="19.5" customHeight="1" x14ac:dyDescent="0.2">
      <c r="A58" s="15"/>
      <c r="B58" s="15"/>
      <c r="C58" s="15"/>
      <c r="D58" s="15"/>
      <c r="E58" s="15"/>
      <c r="F58" s="15"/>
      <c r="G58" s="15"/>
      <c r="H58" s="15"/>
      <c r="I58" s="166" t="str">
        <f>"  Amort. Operação "&amp;Proposta!I33&amp;" - "&amp;Proposta!J33</f>
        <v xml:space="preserve">  Amort. Operação 19 - </v>
      </c>
      <c r="J58" s="163"/>
      <c r="K58" s="165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5"/>
      <c r="AG58" s="62"/>
      <c r="AH58" s="62"/>
      <c r="AI58" s="62"/>
      <c r="AJ58" s="62"/>
      <c r="AK58" s="62"/>
      <c r="AL58" s="62"/>
      <c r="AM58" s="62"/>
      <c r="AN58" s="62"/>
      <c r="AO58" s="62"/>
    </row>
    <row r="59" spans="1:41" ht="19.5" customHeight="1" x14ac:dyDescent="0.2">
      <c r="A59" s="15"/>
      <c r="B59" s="15"/>
      <c r="C59" s="15"/>
      <c r="D59" s="15"/>
      <c r="E59" s="15"/>
      <c r="F59" s="15"/>
      <c r="G59" s="15"/>
      <c r="H59" s="15"/>
      <c r="I59" s="356"/>
      <c r="J59" s="298"/>
      <c r="K59" s="274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"/>
      <c r="AG59" s="62"/>
      <c r="AH59" s="62"/>
      <c r="AI59" s="62"/>
      <c r="AJ59" s="62"/>
      <c r="AK59" s="62"/>
      <c r="AL59" s="62"/>
      <c r="AM59" s="62"/>
      <c r="AN59" s="62"/>
      <c r="AO59" s="62"/>
    </row>
    <row r="60" spans="1:41" ht="19.5" customHeight="1" x14ac:dyDescent="0.2">
      <c r="A60" s="15"/>
      <c r="B60" s="15"/>
      <c r="C60" s="15"/>
      <c r="D60" s="15"/>
      <c r="E60" s="15"/>
      <c r="F60" s="15"/>
      <c r="G60" s="15"/>
      <c r="H60" s="15"/>
      <c r="I60" s="168"/>
      <c r="J60" s="168"/>
      <c r="K60" s="168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"/>
      <c r="AG60" s="62"/>
      <c r="AH60" s="62"/>
      <c r="AI60" s="62"/>
      <c r="AJ60" s="62"/>
      <c r="AK60" s="62"/>
      <c r="AL60" s="62"/>
      <c r="AM60" s="62"/>
      <c r="AN60" s="62"/>
      <c r="AO60" s="62"/>
    </row>
    <row r="61" spans="1:41" ht="19.5" customHeight="1" x14ac:dyDescent="0.2">
      <c r="A61" s="15"/>
      <c r="B61" s="15"/>
      <c r="C61" s="15"/>
      <c r="D61" s="15"/>
      <c r="E61" s="15"/>
      <c r="F61" s="15"/>
      <c r="G61" s="15"/>
      <c r="H61" s="15"/>
      <c r="I61" s="360" t="s">
        <v>171</v>
      </c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90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62"/>
      <c r="AH61" s="62"/>
      <c r="AI61" s="62"/>
      <c r="AJ61" s="62"/>
      <c r="AK61" s="62"/>
      <c r="AL61" s="62"/>
      <c r="AM61" s="62"/>
      <c r="AN61" s="62"/>
      <c r="AO61" s="62"/>
    </row>
    <row r="62" spans="1:41" ht="19.5" customHeight="1" x14ac:dyDescent="0.2">
      <c r="A62" s="15"/>
      <c r="B62" s="15"/>
      <c r="C62" s="15"/>
      <c r="D62" s="15"/>
      <c r="E62" s="15"/>
      <c r="F62" s="15"/>
      <c r="G62" s="15"/>
      <c r="H62" s="15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5"/>
      <c r="AG62" s="62"/>
      <c r="AH62" s="62"/>
      <c r="AI62" s="62"/>
      <c r="AJ62" s="62"/>
      <c r="AK62" s="62"/>
      <c r="AL62" s="62"/>
      <c r="AM62" s="62"/>
      <c r="AN62" s="62"/>
      <c r="AO62" s="62"/>
    </row>
    <row r="63" spans="1:41" ht="19.5" customHeight="1" x14ac:dyDescent="0.2">
      <c r="A63" s="15"/>
      <c r="B63" s="15"/>
      <c r="C63" s="15"/>
      <c r="D63" s="15"/>
      <c r="E63" s="15"/>
      <c r="F63" s="15"/>
      <c r="G63" s="15"/>
      <c r="H63" s="15"/>
      <c r="I63" s="363" t="s">
        <v>141</v>
      </c>
      <c r="J63" s="286"/>
      <c r="K63" s="282"/>
      <c r="L63" s="153" t="s">
        <v>142</v>
      </c>
      <c r="M63" s="153" t="s">
        <v>143</v>
      </c>
      <c r="N63" s="153" t="s">
        <v>144</v>
      </c>
      <c r="O63" s="153" t="s">
        <v>145</v>
      </c>
      <c r="P63" s="153" t="s">
        <v>146</v>
      </c>
      <c r="Q63" s="153" t="s">
        <v>147</v>
      </c>
      <c r="R63" s="153" t="s">
        <v>148</v>
      </c>
      <c r="S63" s="153" t="s">
        <v>149</v>
      </c>
      <c r="T63" s="153" t="s">
        <v>150</v>
      </c>
      <c r="U63" s="153" t="s">
        <v>151</v>
      </c>
      <c r="V63" s="153" t="s">
        <v>151</v>
      </c>
      <c r="W63" s="153" t="s">
        <v>151</v>
      </c>
      <c r="X63" s="153" t="s">
        <v>151</v>
      </c>
      <c r="Y63" s="153" t="s">
        <v>151</v>
      </c>
      <c r="Z63" s="153" t="s">
        <v>151</v>
      </c>
      <c r="AA63" s="153" t="s">
        <v>151</v>
      </c>
      <c r="AB63" s="153" t="s">
        <v>151</v>
      </c>
      <c r="AC63" s="153" t="s">
        <v>151</v>
      </c>
      <c r="AD63" s="153" t="s">
        <v>151</v>
      </c>
      <c r="AE63" s="153" t="s">
        <v>151</v>
      </c>
      <c r="AF63" s="15"/>
      <c r="AG63" s="62"/>
      <c r="AH63" s="62"/>
      <c r="AI63" s="62"/>
      <c r="AJ63" s="62"/>
      <c r="AK63" s="62"/>
      <c r="AL63" s="62"/>
      <c r="AM63" s="62"/>
      <c r="AN63" s="62"/>
      <c r="AO63" s="62"/>
    </row>
    <row r="64" spans="1:41" ht="19.5" customHeight="1" x14ac:dyDescent="0.2">
      <c r="A64" s="15"/>
      <c r="B64" s="15"/>
      <c r="C64" s="15"/>
      <c r="D64" s="15"/>
      <c r="E64" s="15"/>
      <c r="F64" s="15"/>
      <c r="G64" s="15"/>
      <c r="H64" s="15"/>
      <c r="I64" s="356" t="s">
        <v>172</v>
      </c>
      <c r="J64" s="298"/>
      <c r="K64" s="274"/>
      <c r="L64" s="157">
        <f t="shared" ref="L64:AE64" si="2">SUM(L65:L67)</f>
        <v>0</v>
      </c>
      <c r="M64" s="157">
        <f t="shared" si="2"/>
        <v>0</v>
      </c>
      <c r="N64" s="157">
        <f t="shared" si="2"/>
        <v>0</v>
      </c>
      <c r="O64" s="157">
        <f t="shared" si="2"/>
        <v>1224.24</v>
      </c>
      <c r="P64" s="157">
        <f t="shared" si="2"/>
        <v>1236.48</v>
      </c>
      <c r="Q64" s="157">
        <f t="shared" si="2"/>
        <v>1248.8499999999999</v>
      </c>
      <c r="R64" s="157">
        <f t="shared" si="2"/>
        <v>1261.33</v>
      </c>
      <c r="S64" s="157">
        <f t="shared" si="2"/>
        <v>1273.95</v>
      </c>
      <c r="T64" s="157">
        <f t="shared" si="2"/>
        <v>1286.69</v>
      </c>
      <c r="U64" s="157">
        <f t="shared" si="2"/>
        <v>1299.55</v>
      </c>
      <c r="V64" s="157">
        <f t="shared" si="2"/>
        <v>1312.55</v>
      </c>
      <c r="W64" s="157">
        <f t="shared" si="2"/>
        <v>1325.68</v>
      </c>
      <c r="X64" s="157">
        <f t="shared" si="2"/>
        <v>1338.93</v>
      </c>
      <c r="Y64" s="157">
        <f t="shared" si="2"/>
        <v>1352.32</v>
      </c>
      <c r="Z64" s="157">
        <f t="shared" si="2"/>
        <v>1365.85</v>
      </c>
      <c r="AA64" s="157">
        <f t="shared" si="2"/>
        <v>1379.5</v>
      </c>
      <c r="AB64" s="157">
        <f t="shared" si="2"/>
        <v>1393.3</v>
      </c>
      <c r="AC64" s="157">
        <f t="shared" si="2"/>
        <v>1407.23</v>
      </c>
      <c r="AD64" s="157">
        <f t="shared" si="2"/>
        <v>1421.3</v>
      </c>
      <c r="AE64" s="157">
        <f t="shared" si="2"/>
        <v>1435.53</v>
      </c>
      <c r="AF64" s="15"/>
      <c r="AG64" s="62"/>
      <c r="AH64" s="62"/>
      <c r="AI64" s="62"/>
      <c r="AJ64" s="62"/>
      <c r="AK64" s="62"/>
      <c r="AL64" s="62"/>
      <c r="AM64" s="62"/>
      <c r="AN64" s="62"/>
      <c r="AO64" s="62"/>
    </row>
    <row r="65" spans="1:41" ht="19.5" customHeight="1" x14ac:dyDescent="0.2">
      <c r="A65" s="15"/>
      <c r="B65" s="15"/>
      <c r="C65" s="15"/>
      <c r="D65" s="15"/>
      <c r="E65" s="15"/>
      <c r="F65" s="15"/>
      <c r="G65" s="15"/>
      <c r="H65" s="15"/>
      <c r="I65" s="356" t="str">
        <f>"  Prestação - Operação "&amp;Proposta!I14&amp;" - "&amp;Proposta!J14</f>
        <v xml:space="preserve">  Prestação - Operação  - SCR</v>
      </c>
      <c r="J65" s="298"/>
      <c r="K65" s="274"/>
      <c r="L65" s="155">
        <f t="shared" ref="L65:AE65" si="3">L17+L39</f>
        <v>0</v>
      </c>
      <c r="M65" s="155">
        <f t="shared" si="3"/>
        <v>0</v>
      </c>
      <c r="N65" s="155">
        <f t="shared" si="3"/>
        <v>0</v>
      </c>
      <c r="O65" s="155">
        <f t="shared" si="3"/>
        <v>0</v>
      </c>
      <c r="P65" s="155">
        <f t="shared" si="3"/>
        <v>0</v>
      </c>
      <c r="Q65" s="155">
        <f t="shared" si="3"/>
        <v>0</v>
      </c>
      <c r="R65" s="155">
        <f t="shared" si="3"/>
        <v>0</v>
      </c>
      <c r="S65" s="155">
        <f t="shared" si="3"/>
        <v>0</v>
      </c>
      <c r="T65" s="155">
        <f t="shared" si="3"/>
        <v>0</v>
      </c>
      <c r="U65" s="155">
        <f t="shared" si="3"/>
        <v>0</v>
      </c>
      <c r="V65" s="155">
        <f t="shared" si="3"/>
        <v>0</v>
      </c>
      <c r="W65" s="155">
        <f t="shared" si="3"/>
        <v>0</v>
      </c>
      <c r="X65" s="155">
        <f t="shared" si="3"/>
        <v>0</v>
      </c>
      <c r="Y65" s="155">
        <f t="shared" si="3"/>
        <v>0</v>
      </c>
      <c r="Z65" s="155">
        <f t="shared" si="3"/>
        <v>0</v>
      </c>
      <c r="AA65" s="155">
        <f t="shared" si="3"/>
        <v>0</v>
      </c>
      <c r="AB65" s="155">
        <f t="shared" si="3"/>
        <v>0</v>
      </c>
      <c r="AC65" s="155">
        <f t="shared" si="3"/>
        <v>0</v>
      </c>
      <c r="AD65" s="155">
        <f t="shared" si="3"/>
        <v>0</v>
      </c>
      <c r="AE65" s="155">
        <f t="shared" si="3"/>
        <v>0</v>
      </c>
      <c r="AF65" s="15"/>
      <c r="AG65" s="62"/>
      <c r="AH65" s="62"/>
      <c r="AI65" s="62"/>
      <c r="AJ65" s="62"/>
      <c r="AK65" s="62"/>
      <c r="AL65" s="62"/>
      <c r="AM65" s="62"/>
      <c r="AN65" s="62"/>
      <c r="AO65" s="62"/>
    </row>
    <row r="66" spans="1:41" ht="19.5" customHeight="1" x14ac:dyDescent="0.2">
      <c r="A66" s="15"/>
      <c r="B66" s="15"/>
      <c r="C66" s="15"/>
      <c r="D66" s="15"/>
      <c r="E66" s="15"/>
      <c r="F66" s="15"/>
      <c r="G66" s="15"/>
      <c r="H66" s="15"/>
      <c r="I66" s="356" t="str">
        <f>"  Prestação - Operação "&amp;Proposta!I15&amp;" - "&amp;Proposta!J15</f>
        <v xml:space="preserve">  Prestação - Operação 1 - </v>
      </c>
      <c r="J66" s="298"/>
      <c r="K66" s="274"/>
      <c r="L66" s="155">
        <f t="shared" ref="L66:AE66" si="4">L18+L40</f>
        <v>0</v>
      </c>
      <c r="M66" s="155">
        <f t="shared" si="4"/>
        <v>0</v>
      </c>
      <c r="N66" s="155">
        <f t="shared" si="4"/>
        <v>0</v>
      </c>
      <c r="O66" s="155">
        <f t="shared" si="4"/>
        <v>1224.24</v>
      </c>
      <c r="P66" s="155">
        <f t="shared" si="4"/>
        <v>1236.48</v>
      </c>
      <c r="Q66" s="155">
        <f t="shared" si="4"/>
        <v>1248.8499999999999</v>
      </c>
      <c r="R66" s="155">
        <f t="shared" si="4"/>
        <v>1261.33</v>
      </c>
      <c r="S66" s="155">
        <f t="shared" si="4"/>
        <v>1273.95</v>
      </c>
      <c r="T66" s="155">
        <f t="shared" si="4"/>
        <v>1286.69</v>
      </c>
      <c r="U66" s="155">
        <f t="shared" si="4"/>
        <v>1299.55</v>
      </c>
      <c r="V66" s="155">
        <f t="shared" si="4"/>
        <v>1312.55</v>
      </c>
      <c r="W66" s="155">
        <f t="shared" si="4"/>
        <v>1325.68</v>
      </c>
      <c r="X66" s="155">
        <f t="shared" si="4"/>
        <v>1338.93</v>
      </c>
      <c r="Y66" s="155">
        <f t="shared" si="4"/>
        <v>1352.32</v>
      </c>
      <c r="Z66" s="155">
        <f t="shared" si="4"/>
        <v>1365.85</v>
      </c>
      <c r="AA66" s="155">
        <f t="shared" si="4"/>
        <v>1379.5</v>
      </c>
      <c r="AB66" s="155">
        <f t="shared" si="4"/>
        <v>1393.3</v>
      </c>
      <c r="AC66" s="155">
        <f t="shared" si="4"/>
        <v>1407.23</v>
      </c>
      <c r="AD66" s="155">
        <f t="shared" si="4"/>
        <v>1421.3</v>
      </c>
      <c r="AE66" s="155">
        <f t="shared" si="4"/>
        <v>1435.53</v>
      </c>
      <c r="AF66" s="15"/>
      <c r="AG66" s="62"/>
      <c r="AH66" s="62"/>
      <c r="AI66" s="62"/>
      <c r="AJ66" s="62"/>
      <c r="AK66" s="62"/>
      <c r="AL66" s="62"/>
      <c r="AM66" s="62"/>
      <c r="AN66" s="62"/>
      <c r="AO66" s="62"/>
    </row>
    <row r="67" spans="1:41" ht="19.5" customHeight="1" x14ac:dyDescent="0.2">
      <c r="A67" s="15"/>
      <c r="B67" s="15"/>
      <c r="C67" s="15"/>
      <c r="D67" s="15"/>
      <c r="E67" s="15"/>
      <c r="F67" s="15"/>
      <c r="G67" s="15"/>
      <c r="H67" s="15"/>
      <c r="I67" s="356" t="str">
        <f>"  Prestação - Operação "&amp;Proposta!I16&amp;" - "&amp;Proposta!J16</f>
        <v xml:space="preserve">  Prestação - Operação 2 - </v>
      </c>
      <c r="J67" s="298"/>
      <c r="K67" s="274"/>
      <c r="L67" s="155">
        <f t="shared" ref="L67:AE67" si="5">L19+L41</f>
        <v>0</v>
      </c>
      <c r="M67" s="155">
        <f t="shared" si="5"/>
        <v>0</v>
      </c>
      <c r="N67" s="155">
        <f t="shared" si="5"/>
        <v>0</v>
      </c>
      <c r="O67" s="155">
        <f t="shared" si="5"/>
        <v>0</v>
      </c>
      <c r="P67" s="155">
        <f t="shared" si="5"/>
        <v>0</v>
      </c>
      <c r="Q67" s="155">
        <f t="shared" si="5"/>
        <v>0</v>
      </c>
      <c r="R67" s="155">
        <f t="shared" si="5"/>
        <v>0</v>
      </c>
      <c r="S67" s="155">
        <f t="shared" si="5"/>
        <v>0</v>
      </c>
      <c r="T67" s="155">
        <f t="shared" si="5"/>
        <v>0</v>
      </c>
      <c r="U67" s="155">
        <f t="shared" si="5"/>
        <v>0</v>
      </c>
      <c r="V67" s="155">
        <f t="shared" si="5"/>
        <v>0</v>
      </c>
      <c r="W67" s="155">
        <f t="shared" si="5"/>
        <v>0</v>
      </c>
      <c r="X67" s="155">
        <f t="shared" si="5"/>
        <v>0</v>
      </c>
      <c r="Y67" s="155">
        <f t="shared" si="5"/>
        <v>0</v>
      </c>
      <c r="Z67" s="155">
        <f t="shared" si="5"/>
        <v>0</v>
      </c>
      <c r="AA67" s="155">
        <f t="shared" si="5"/>
        <v>0</v>
      </c>
      <c r="AB67" s="155">
        <f t="shared" si="5"/>
        <v>0</v>
      </c>
      <c r="AC67" s="155">
        <f t="shared" si="5"/>
        <v>0</v>
      </c>
      <c r="AD67" s="155">
        <f t="shared" si="5"/>
        <v>0</v>
      </c>
      <c r="AE67" s="155">
        <f t="shared" si="5"/>
        <v>0</v>
      </c>
      <c r="AF67" s="15"/>
      <c r="AG67" s="62"/>
      <c r="AH67" s="62"/>
      <c r="AI67" s="62"/>
      <c r="AJ67" s="62"/>
      <c r="AK67" s="62"/>
      <c r="AL67" s="62"/>
      <c r="AM67" s="62"/>
      <c r="AN67" s="62"/>
      <c r="AO67" s="62"/>
    </row>
    <row r="68" spans="1:41" ht="19.5" customHeight="1" x14ac:dyDescent="0.2">
      <c r="A68" s="15"/>
      <c r="B68" s="15"/>
      <c r="C68" s="15"/>
      <c r="D68" s="15"/>
      <c r="E68" s="15"/>
      <c r="F68" s="15"/>
      <c r="G68" s="15"/>
      <c r="H68" s="15"/>
      <c r="I68" s="23"/>
      <c r="J68" s="23"/>
      <c r="K68" s="23"/>
      <c r="L68" s="23"/>
      <c r="M68" s="23"/>
      <c r="N68" s="23"/>
      <c r="O68" s="23"/>
      <c r="P68" s="23"/>
      <c r="Q68" s="23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62"/>
      <c r="AH68" s="62"/>
      <c r="AI68" s="62"/>
      <c r="AJ68" s="62"/>
      <c r="AK68" s="62"/>
      <c r="AL68" s="62"/>
      <c r="AM68" s="62"/>
      <c r="AN68" s="62"/>
      <c r="AO68" s="62"/>
    </row>
    <row r="69" spans="1:41" ht="19.5" customHeight="1" x14ac:dyDescent="0.2">
      <c r="A69" s="15"/>
      <c r="B69" s="15"/>
      <c r="C69" s="15"/>
      <c r="D69" s="15"/>
      <c r="E69" s="15"/>
      <c r="F69" s="15"/>
      <c r="G69" s="15"/>
      <c r="H69" s="15"/>
      <c r="I69" s="23"/>
      <c r="J69" s="23"/>
      <c r="K69" s="23"/>
      <c r="L69" s="23"/>
      <c r="M69" s="23"/>
      <c r="N69" s="23"/>
      <c r="O69" s="23"/>
      <c r="P69" s="23"/>
      <c r="Q69" s="23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62"/>
      <c r="AH69" s="62"/>
      <c r="AI69" s="62"/>
      <c r="AJ69" s="62"/>
      <c r="AK69" s="62"/>
      <c r="AL69" s="62"/>
      <c r="AM69" s="62"/>
      <c r="AN69" s="62"/>
      <c r="AO69" s="62"/>
    </row>
    <row r="70" spans="1:41" ht="19.5" customHeight="1" x14ac:dyDescent="0.2">
      <c r="A70" s="15"/>
      <c r="B70" s="15"/>
      <c r="C70" s="15"/>
      <c r="D70" s="15"/>
      <c r="E70" s="15"/>
      <c r="F70" s="15"/>
      <c r="G70" s="15"/>
      <c r="H70" s="15"/>
      <c r="I70" s="23"/>
      <c r="J70" s="23"/>
      <c r="K70" s="23"/>
      <c r="L70" s="23"/>
      <c r="M70" s="23"/>
      <c r="N70" s="23"/>
      <c r="O70" s="23"/>
      <c r="P70" s="23"/>
      <c r="Q70" s="23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62"/>
      <c r="AH70" s="62"/>
      <c r="AI70" s="62"/>
      <c r="AJ70" s="62"/>
      <c r="AK70" s="62"/>
      <c r="AL70" s="62"/>
      <c r="AM70" s="62"/>
      <c r="AN70" s="62"/>
      <c r="AO70" s="62"/>
    </row>
    <row r="71" spans="1:41" ht="19.5" customHeight="1" x14ac:dyDescent="0.2">
      <c r="A71" s="15"/>
      <c r="B71" s="15"/>
      <c r="C71" s="15"/>
      <c r="D71" s="15"/>
      <c r="E71" s="15"/>
      <c r="F71" s="15"/>
      <c r="G71" s="15"/>
      <c r="H71" s="15"/>
      <c r="I71" s="23"/>
      <c r="J71" s="23"/>
      <c r="K71" s="23"/>
      <c r="L71" s="23"/>
      <c r="M71" s="23"/>
      <c r="N71" s="23"/>
      <c r="O71" s="23"/>
      <c r="P71" s="23"/>
      <c r="Q71" s="23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62"/>
      <c r="AH71" s="62"/>
      <c r="AI71" s="62"/>
      <c r="AJ71" s="62"/>
      <c r="AK71" s="62"/>
      <c r="AL71" s="62"/>
      <c r="AM71" s="62"/>
      <c r="AN71" s="62"/>
      <c r="AO71" s="62"/>
    </row>
    <row r="72" spans="1:41" ht="19.5" customHeight="1" x14ac:dyDescent="0.2">
      <c r="A72" s="15"/>
      <c r="B72" s="15"/>
      <c r="C72" s="15"/>
      <c r="D72" s="15"/>
      <c r="E72" s="15"/>
      <c r="F72" s="15"/>
      <c r="G72" s="15"/>
      <c r="H72" s="15"/>
      <c r="I72" s="23"/>
      <c r="J72" s="23"/>
      <c r="K72" s="23"/>
      <c r="L72" s="23"/>
      <c r="M72" s="23"/>
      <c r="N72" s="23"/>
      <c r="O72" s="23"/>
      <c r="P72" s="23"/>
      <c r="Q72" s="23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62"/>
      <c r="AH72" s="62"/>
      <c r="AI72" s="62"/>
      <c r="AJ72" s="62"/>
      <c r="AK72" s="62"/>
      <c r="AL72" s="62"/>
      <c r="AM72" s="62"/>
      <c r="AN72" s="62"/>
      <c r="AO72" s="62"/>
    </row>
    <row r="73" spans="1:41" ht="19.5" customHeight="1" x14ac:dyDescent="0.2">
      <c r="A73" s="15"/>
      <c r="B73" s="15"/>
      <c r="C73" s="15"/>
      <c r="D73" s="15"/>
      <c r="E73" s="15"/>
      <c r="F73" s="15"/>
      <c r="G73" s="15"/>
      <c r="H73" s="15"/>
      <c r="I73" s="23"/>
      <c r="J73" s="23"/>
      <c r="K73" s="23"/>
      <c r="L73" s="23"/>
      <c r="M73" s="23"/>
      <c r="N73" s="23"/>
      <c r="O73" s="23"/>
      <c r="P73" s="23"/>
      <c r="Q73" s="23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62"/>
      <c r="AH73" s="62"/>
      <c r="AI73" s="62"/>
      <c r="AJ73" s="62"/>
      <c r="AK73" s="62"/>
      <c r="AL73" s="62"/>
      <c r="AM73" s="62"/>
      <c r="AN73" s="62"/>
      <c r="AO73" s="62"/>
    </row>
    <row r="74" spans="1:41" ht="19.5" customHeight="1" x14ac:dyDescent="0.2">
      <c r="A74" s="15"/>
      <c r="B74" s="15"/>
      <c r="C74" s="15"/>
      <c r="D74" s="15"/>
      <c r="E74" s="15"/>
      <c r="F74" s="15"/>
      <c r="G74" s="15"/>
      <c r="H74" s="15"/>
      <c r="I74" s="23"/>
      <c r="J74" s="23"/>
      <c r="K74" s="23"/>
      <c r="L74" s="23"/>
      <c r="M74" s="23"/>
      <c r="N74" s="23"/>
      <c r="O74" s="23"/>
      <c r="P74" s="23"/>
      <c r="Q74" s="23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62"/>
      <c r="AH74" s="62"/>
      <c r="AI74" s="62"/>
      <c r="AJ74" s="62"/>
      <c r="AK74" s="62"/>
      <c r="AL74" s="62"/>
      <c r="AM74" s="62"/>
      <c r="AN74" s="62"/>
      <c r="AO74" s="62"/>
    </row>
    <row r="75" spans="1:41" ht="19.5" customHeight="1" x14ac:dyDescent="0.2">
      <c r="A75" s="15"/>
      <c r="B75" s="15"/>
      <c r="C75" s="15"/>
      <c r="D75" s="15"/>
      <c r="E75" s="15"/>
      <c r="F75" s="15"/>
      <c r="G75" s="15"/>
      <c r="H75" s="15"/>
      <c r="I75" s="23"/>
      <c r="J75" s="23"/>
      <c r="K75" s="23"/>
      <c r="L75" s="23"/>
      <c r="M75" s="23"/>
      <c r="N75" s="23"/>
      <c r="O75" s="23"/>
      <c r="P75" s="23"/>
      <c r="Q75" s="23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62"/>
      <c r="AH75" s="62"/>
      <c r="AI75" s="62"/>
      <c r="AJ75" s="62"/>
      <c r="AK75" s="62"/>
      <c r="AL75" s="62"/>
      <c r="AM75" s="62"/>
      <c r="AN75" s="62"/>
      <c r="AO75" s="62"/>
    </row>
    <row r="76" spans="1:41" ht="19.5" customHeight="1" x14ac:dyDescent="0.2">
      <c r="A76" s="15"/>
      <c r="B76" s="15"/>
      <c r="C76" s="15"/>
      <c r="D76" s="15"/>
      <c r="E76" s="15"/>
      <c r="F76" s="15"/>
      <c r="G76" s="15"/>
      <c r="H76" s="15"/>
      <c r="I76" s="23"/>
      <c r="J76" s="23"/>
      <c r="K76" s="23"/>
      <c r="L76" s="23"/>
      <c r="M76" s="23"/>
      <c r="N76" s="23"/>
      <c r="O76" s="23"/>
      <c r="P76" s="23"/>
      <c r="Q76" s="23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62"/>
      <c r="AH76" s="62"/>
      <c r="AI76" s="62"/>
      <c r="AJ76" s="62"/>
      <c r="AK76" s="62"/>
      <c r="AL76" s="62"/>
      <c r="AM76" s="62"/>
      <c r="AN76" s="62"/>
      <c r="AO76" s="62"/>
    </row>
    <row r="77" spans="1:41" ht="19.5" customHeight="1" x14ac:dyDescent="0.2">
      <c r="A77" s="15"/>
      <c r="B77" s="15"/>
      <c r="C77" s="15"/>
      <c r="D77" s="15"/>
      <c r="E77" s="15"/>
      <c r="F77" s="15"/>
      <c r="G77" s="15"/>
      <c r="H77" s="15"/>
      <c r="I77" s="23"/>
      <c r="J77" s="23"/>
      <c r="K77" s="23"/>
      <c r="L77" s="23"/>
      <c r="M77" s="23"/>
      <c r="N77" s="23"/>
      <c r="O77" s="23"/>
      <c r="P77" s="23"/>
      <c r="Q77" s="23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62"/>
      <c r="AH77" s="62"/>
      <c r="AI77" s="62"/>
      <c r="AJ77" s="62"/>
      <c r="AK77" s="62"/>
      <c r="AL77" s="62"/>
      <c r="AM77" s="62"/>
      <c r="AN77" s="62"/>
      <c r="AO77" s="62"/>
    </row>
    <row r="78" spans="1:41" ht="19.5" customHeight="1" x14ac:dyDescent="0.2">
      <c r="A78" s="15"/>
      <c r="B78" s="15"/>
      <c r="C78" s="15"/>
      <c r="D78" s="15"/>
      <c r="E78" s="15"/>
      <c r="F78" s="15"/>
      <c r="G78" s="15"/>
      <c r="H78" s="15"/>
      <c r="I78" s="23"/>
      <c r="J78" s="23"/>
      <c r="K78" s="23"/>
      <c r="L78" s="23"/>
      <c r="M78" s="23"/>
      <c r="N78" s="23"/>
      <c r="O78" s="23"/>
      <c r="P78" s="23"/>
      <c r="Q78" s="23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62"/>
      <c r="AH78" s="62"/>
      <c r="AI78" s="62"/>
      <c r="AJ78" s="62"/>
      <c r="AK78" s="62"/>
      <c r="AL78" s="62"/>
      <c r="AM78" s="62"/>
      <c r="AN78" s="62"/>
      <c r="AO78" s="62"/>
    </row>
    <row r="79" spans="1:41" ht="19.5" customHeight="1" x14ac:dyDescent="0.2">
      <c r="A79" s="15"/>
      <c r="B79" s="15"/>
      <c r="C79" s="15"/>
      <c r="D79" s="15"/>
      <c r="E79" s="15"/>
      <c r="F79" s="15"/>
      <c r="G79" s="15"/>
      <c r="H79" s="15"/>
      <c r="I79" s="23"/>
      <c r="J79" s="23"/>
      <c r="K79" s="23"/>
      <c r="L79" s="23"/>
      <c r="M79" s="23"/>
      <c r="N79" s="23"/>
      <c r="O79" s="23"/>
      <c r="P79" s="23"/>
      <c r="Q79" s="23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62"/>
      <c r="AH79" s="62"/>
      <c r="AI79" s="62"/>
      <c r="AJ79" s="62"/>
      <c r="AK79" s="62"/>
      <c r="AL79" s="62"/>
      <c r="AM79" s="62"/>
      <c r="AN79" s="62"/>
      <c r="AO79" s="62"/>
    </row>
    <row r="80" spans="1:41" ht="19.5" customHeight="1" x14ac:dyDescent="0.2">
      <c r="A80" s="15"/>
      <c r="B80" s="15"/>
      <c r="C80" s="15"/>
      <c r="D80" s="15"/>
      <c r="E80" s="15"/>
      <c r="F80" s="15"/>
      <c r="G80" s="15"/>
      <c r="H80" s="15"/>
      <c r="I80" s="23"/>
      <c r="J80" s="23"/>
      <c r="K80" s="23"/>
      <c r="L80" s="23"/>
      <c r="M80" s="23"/>
      <c r="N80" s="23"/>
      <c r="O80" s="23"/>
      <c r="P80" s="23"/>
      <c r="Q80" s="23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62"/>
      <c r="AH80" s="62"/>
      <c r="AI80" s="62"/>
      <c r="AJ80" s="62"/>
      <c r="AK80" s="62"/>
      <c r="AL80" s="62"/>
      <c r="AM80" s="62"/>
      <c r="AN80" s="62"/>
      <c r="AO80" s="62"/>
    </row>
    <row r="81" spans="1:41" ht="19.5" customHeight="1" x14ac:dyDescent="0.2">
      <c r="A81" s="15"/>
      <c r="B81" s="15"/>
      <c r="C81" s="15"/>
      <c r="D81" s="15"/>
      <c r="E81" s="15"/>
      <c r="F81" s="15"/>
      <c r="G81" s="15"/>
      <c r="H81" s="15"/>
      <c r="I81" s="23"/>
      <c r="J81" s="23"/>
      <c r="K81" s="23"/>
      <c r="L81" s="23"/>
      <c r="M81" s="23"/>
      <c r="N81" s="23"/>
      <c r="O81" s="23"/>
      <c r="P81" s="23"/>
      <c r="Q81" s="23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62"/>
      <c r="AH81" s="62"/>
      <c r="AI81" s="62"/>
      <c r="AJ81" s="62"/>
      <c r="AK81" s="62"/>
      <c r="AL81" s="62"/>
      <c r="AM81" s="62"/>
      <c r="AN81" s="62"/>
      <c r="AO81" s="62"/>
    </row>
    <row r="82" spans="1:41" ht="19.5" customHeight="1" x14ac:dyDescent="0.2">
      <c r="A82" s="15"/>
      <c r="B82" s="15"/>
      <c r="C82" s="15"/>
      <c r="D82" s="15"/>
      <c r="E82" s="15"/>
      <c r="F82" s="15"/>
      <c r="G82" s="15"/>
      <c r="H82" s="15"/>
      <c r="I82" s="23"/>
      <c r="J82" s="23"/>
      <c r="K82" s="23"/>
      <c r="L82" s="23"/>
      <c r="M82" s="23"/>
      <c r="N82" s="23"/>
      <c r="O82" s="23"/>
      <c r="P82" s="23"/>
      <c r="Q82" s="23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62"/>
      <c r="AH82" s="62"/>
      <c r="AI82" s="62"/>
      <c r="AJ82" s="62"/>
      <c r="AK82" s="62"/>
      <c r="AL82" s="62"/>
      <c r="AM82" s="62"/>
      <c r="AN82" s="62"/>
      <c r="AO82" s="62"/>
    </row>
    <row r="83" spans="1:41" ht="19.5" customHeight="1" x14ac:dyDescent="0.2">
      <c r="A83" s="15"/>
      <c r="B83" s="15"/>
      <c r="C83" s="15"/>
      <c r="D83" s="15"/>
      <c r="E83" s="15"/>
      <c r="F83" s="15"/>
      <c r="G83" s="15"/>
      <c r="H83" s="15"/>
      <c r="I83" s="19"/>
      <c r="J83" s="19"/>
      <c r="K83" s="19"/>
      <c r="L83" s="19"/>
      <c r="M83" s="19"/>
      <c r="N83" s="19"/>
      <c r="O83" s="19"/>
      <c r="P83" s="19"/>
      <c r="Q83" s="19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62"/>
      <c r="AH83" s="62"/>
      <c r="AI83" s="62"/>
      <c r="AJ83" s="62"/>
      <c r="AK83" s="62"/>
      <c r="AL83" s="62"/>
      <c r="AM83" s="62"/>
      <c r="AN83" s="62"/>
      <c r="AO83" s="62"/>
    </row>
    <row r="84" spans="1:41" ht="19.5" customHeight="1" x14ac:dyDescent="0.2">
      <c r="A84" s="15"/>
      <c r="B84" s="15"/>
      <c r="C84" s="15"/>
      <c r="D84" s="15"/>
      <c r="E84" s="15"/>
      <c r="F84" s="15"/>
      <c r="G84" s="15"/>
      <c r="H84" s="15"/>
      <c r="I84" s="170" t="s">
        <v>173</v>
      </c>
      <c r="J84" s="171"/>
      <c r="K84" s="171"/>
      <c r="L84" s="172"/>
      <c r="M84" s="27" t="s">
        <v>174</v>
      </c>
      <c r="N84" s="27" t="s">
        <v>175</v>
      </c>
      <c r="O84" s="27" t="s">
        <v>176</v>
      </c>
      <c r="P84" s="27" t="s">
        <v>177</v>
      </c>
      <c r="Q84" s="27" t="s">
        <v>178</v>
      </c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62"/>
      <c r="AH84" s="62"/>
      <c r="AI84" s="62"/>
      <c r="AJ84" s="62"/>
      <c r="AK84" s="62"/>
      <c r="AL84" s="62"/>
      <c r="AM84" s="62"/>
      <c r="AN84" s="62"/>
      <c r="AO84" s="62"/>
    </row>
    <row r="85" spans="1:41" ht="19.5" customHeight="1" x14ac:dyDescent="0.2">
      <c r="A85" s="15"/>
      <c r="B85" s="15"/>
      <c r="C85" s="15"/>
      <c r="D85" s="15"/>
      <c r="E85" s="15"/>
      <c r="F85" s="15"/>
      <c r="G85" s="15"/>
      <c r="H85" s="15"/>
      <c r="I85" s="173"/>
      <c r="J85" s="174"/>
      <c r="K85" s="174"/>
      <c r="L85" s="175"/>
      <c r="M85" s="176"/>
      <c r="N85" s="177"/>
      <c r="O85" s="178"/>
      <c r="P85" s="179"/>
      <c r="Q85" s="180" t="str">
        <f t="shared" ref="Q85:Q92" si="6">IF(M85=0,"",ROUND(O85*M85,2)-P85)</f>
        <v/>
      </c>
      <c r="R85" s="181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62"/>
      <c r="AH85" s="62"/>
      <c r="AI85" s="62"/>
      <c r="AJ85" s="62"/>
      <c r="AK85" s="62"/>
      <c r="AL85" s="62"/>
      <c r="AM85" s="62"/>
      <c r="AN85" s="62"/>
      <c r="AO85" s="62"/>
    </row>
    <row r="86" spans="1:41" ht="19.5" customHeight="1" x14ac:dyDescent="0.2">
      <c r="A86" s="15"/>
      <c r="B86" s="15"/>
      <c r="C86" s="15"/>
      <c r="D86" s="15"/>
      <c r="E86" s="15"/>
      <c r="F86" s="15"/>
      <c r="G86" s="15"/>
      <c r="H86" s="15"/>
      <c r="I86" s="182"/>
      <c r="J86" s="183"/>
      <c r="K86" s="183"/>
      <c r="L86" s="184"/>
      <c r="M86" s="185"/>
      <c r="N86" s="186"/>
      <c r="O86" s="187"/>
      <c r="P86" s="188"/>
      <c r="Q86" s="189" t="str">
        <f t="shared" si="6"/>
        <v/>
      </c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62"/>
      <c r="AH86" s="62"/>
      <c r="AI86" s="62"/>
      <c r="AJ86" s="62"/>
      <c r="AK86" s="62"/>
      <c r="AL86" s="62"/>
      <c r="AM86" s="62"/>
      <c r="AN86" s="62"/>
      <c r="AO86" s="62"/>
    </row>
    <row r="87" spans="1:41" ht="19.5" customHeight="1" x14ac:dyDescent="0.2">
      <c r="A87" s="15"/>
      <c r="B87" s="15"/>
      <c r="C87" s="15"/>
      <c r="D87" s="15"/>
      <c r="E87" s="15"/>
      <c r="F87" s="15"/>
      <c r="G87" s="15"/>
      <c r="H87" s="15"/>
      <c r="I87" s="182"/>
      <c r="J87" s="183"/>
      <c r="K87" s="183"/>
      <c r="L87" s="184"/>
      <c r="M87" s="185"/>
      <c r="N87" s="186"/>
      <c r="O87" s="187"/>
      <c r="P87" s="188"/>
      <c r="Q87" s="189" t="str">
        <f t="shared" si="6"/>
        <v/>
      </c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62"/>
      <c r="AH87" s="62"/>
      <c r="AI87" s="62"/>
      <c r="AJ87" s="62"/>
      <c r="AK87" s="62"/>
      <c r="AL87" s="62"/>
      <c r="AM87" s="62"/>
      <c r="AN87" s="62"/>
      <c r="AO87" s="62"/>
    </row>
    <row r="88" spans="1:41" ht="19.5" customHeight="1" x14ac:dyDescent="0.2">
      <c r="A88" s="15"/>
      <c r="B88" s="15"/>
      <c r="C88" s="15"/>
      <c r="D88" s="15"/>
      <c r="E88" s="15"/>
      <c r="F88" s="15"/>
      <c r="G88" s="15"/>
      <c r="H88" s="15"/>
      <c r="I88" s="182"/>
      <c r="J88" s="183"/>
      <c r="K88" s="183"/>
      <c r="L88" s="184"/>
      <c r="M88" s="185"/>
      <c r="N88" s="186"/>
      <c r="O88" s="187"/>
      <c r="P88" s="188"/>
      <c r="Q88" s="189" t="str">
        <f t="shared" si="6"/>
        <v/>
      </c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62"/>
      <c r="AH88" s="62"/>
      <c r="AI88" s="62"/>
      <c r="AJ88" s="62"/>
      <c r="AK88" s="62"/>
      <c r="AL88" s="62"/>
      <c r="AM88" s="62"/>
      <c r="AN88" s="62"/>
      <c r="AO88" s="62"/>
    </row>
    <row r="89" spans="1:41" ht="19.5" customHeight="1" x14ac:dyDescent="0.2">
      <c r="A89" s="15"/>
      <c r="B89" s="15"/>
      <c r="C89" s="15"/>
      <c r="D89" s="15"/>
      <c r="E89" s="15"/>
      <c r="F89" s="15"/>
      <c r="G89" s="15"/>
      <c r="H89" s="15"/>
      <c r="I89" s="182"/>
      <c r="J89" s="183"/>
      <c r="K89" s="183"/>
      <c r="L89" s="184"/>
      <c r="M89" s="185"/>
      <c r="N89" s="186"/>
      <c r="O89" s="187"/>
      <c r="P89" s="188"/>
      <c r="Q89" s="189" t="str">
        <f t="shared" si="6"/>
        <v/>
      </c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62"/>
      <c r="AH89" s="62"/>
      <c r="AI89" s="62"/>
      <c r="AJ89" s="62"/>
      <c r="AK89" s="62"/>
      <c r="AL89" s="62"/>
      <c r="AM89" s="62"/>
      <c r="AN89" s="62"/>
      <c r="AO89" s="62"/>
    </row>
    <row r="90" spans="1:41" ht="19.5" customHeight="1" x14ac:dyDescent="0.2">
      <c r="A90" s="15"/>
      <c r="B90" s="15"/>
      <c r="C90" s="15"/>
      <c r="D90" s="15"/>
      <c r="E90" s="15"/>
      <c r="F90" s="15"/>
      <c r="G90" s="15"/>
      <c r="H90" s="15"/>
      <c r="I90" s="182"/>
      <c r="J90" s="183"/>
      <c r="K90" s="183"/>
      <c r="L90" s="184"/>
      <c r="M90" s="185"/>
      <c r="N90" s="186"/>
      <c r="O90" s="187"/>
      <c r="P90" s="188"/>
      <c r="Q90" s="189" t="str">
        <f t="shared" si="6"/>
        <v/>
      </c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62"/>
      <c r="AH90" s="62"/>
      <c r="AI90" s="62"/>
      <c r="AJ90" s="62"/>
      <c r="AK90" s="62"/>
      <c r="AL90" s="62"/>
      <c r="AM90" s="62"/>
      <c r="AN90" s="62"/>
      <c r="AO90" s="62"/>
    </row>
    <row r="91" spans="1:41" ht="19.5" customHeight="1" x14ac:dyDescent="0.2">
      <c r="A91" s="15"/>
      <c r="B91" s="15"/>
      <c r="C91" s="15"/>
      <c r="D91" s="15"/>
      <c r="E91" s="15"/>
      <c r="F91" s="15"/>
      <c r="G91" s="15"/>
      <c r="H91" s="15"/>
      <c r="I91" s="182"/>
      <c r="J91" s="183"/>
      <c r="K91" s="183"/>
      <c r="L91" s="184"/>
      <c r="M91" s="185"/>
      <c r="N91" s="186"/>
      <c r="O91" s="187"/>
      <c r="P91" s="188"/>
      <c r="Q91" s="189" t="str">
        <f t="shared" si="6"/>
        <v/>
      </c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62"/>
      <c r="AH91" s="62"/>
      <c r="AI91" s="62"/>
      <c r="AJ91" s="62"/>
      <c r="AK91" s="62"/>
      <c r="AL91" s="62"/>
      <c r="AM91" s="62"/>
      <c r="AN91" s="62"/>
      <c r="AO91" s="62"/>
    </row>
    <row r="92" spans="1:41" ht="19.5" customHeight="1" x14ac:dyDescent="0.2">
      <c r="A92" s="15"/>
      <c r="B92" s="15"/>
      <c r="C92" s="15"/>
      <c r="D92" s="15"/>
      <c r="E92" s="15"/>
      <c r="F92" s="15"/>
      <c r="G92" s="15"/>
      <c r="H92" s="15"/>
      <c r="I92" s="190"/>
      <c r="J92" s="191"/>
      <c r="K92" s="191"/>
      <c r="L92" s="192"/>
      <c r="M92" s="185"/>
      <c r="N92" s="186"/>
      <c r="O92" s="187"/>
      <c r="P92" s="188"/>
      <c r="Q92" s="189" t="str">
        <f t="shared" si="6"/>
        <v/>
      </c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62"/>
      <c r="AH92" s="62"/>
      <c r="AI92" s="62"/>
      <c r="AJ92" s="62"/>
      <c r="AK92" s="62"/>
      <c r="AL92" s="62"/>
      <c r="AM92" s="62"/>
      <c r="AN92" s="62"/>
      <c r="AO92" s="62"/>
    </row>
    <row r="93" spans="1:41" ht="19.5" customHeight="1" x14ac:dyDescent="0.2">
      <c r="A93" s="15"/>
      <c r="B93" s="15"/>
      <c r="C93" s="15"/>
      <c r="D93" s="15"/>
      <c r="E93" s="15"/>
      <c r="F93" s="15"/>
      <c r="G93" s="15"/>
      <c r="H93" s="15"/>
      <c r="I93" s="193" t="s">
        <v>179</v>
      </c>
      <c r="J93" s="194"/>
      <c r="K93" s="194"/>
      <c r="L93" s="194"/>
      <c r="M93" s="194"/>
      <c r="N93" s="194"/>
      <c r="O93" s="195"/>
      <c r="P93" s="196"/>
      <c r="Q93" s="197">
        <f>IF(SUM(Q85:Q92)=0,0,SUM(Q85:Q92))</f>
        <v>0</v>
      </c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62"/>
      <c r="AH93" s="62"/>
      <c r="AI93" s="62"/>
      <c r="AJ93" s="62"/>
      <c r="AK93" s="62"/>
      <c r="AL93" s="62"/>
      <c r="AM93" s="62"/>
      <c r="AN93" s="62"/>
      <c r="AO93" s="62"/>
    </row>
    <row r="94" spans="1:41" ht="19.5" customHeight="1" x14ac:dyDescent="0.2">
      <c r="A94" s="15"/>
      <c r="B94" s="15"/>
      <c r="C94" s="15"/>
      <c r="D94" s="15"/>
      <c r="E94" s="15"/>
      <c r="F94" s="15"/>
      <c r="G94" s="15"/>
      <c r="H94" s="15"/>
      <c r="I94" s="198" t="s">
        <v>180</v>
      </c>
      <c r="J94" s="199"/>
      <c r="K94" s="199"/>
      <c r="L94" s="200"/>
      <c r="M94" s="201">
        <v>1</v>
      </c>
      <c r="N94" s="202" t="s">
        <v>181</v>
      </c>
      <c r="O94" s="203"/>
      <c r="P94" s="204"/>
      <c r="Q94" s="205">
        <f>IF(M94=0,"",ROUND(O94*M94,2)-P94)</f>
        <v>0</v>
      </c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62"/>
      <c r="AH94" s="62"/>
      <c r="AI94" s="62"/>
      <c r="AJ94" s="62"/>
      <c r="AK94" s="62"/>
      <c r="AL94" s="62"/>
      <c r="AM94" s="62"/>
      <c r="AN94" s="62"/>
      <c r="AO94" s="62"/>
    </row>
    <row r="95" spans="1:41" ht="19.5" customHeight="1" x14ac:dyDescent="0.2">
      <c r="A95" s="15"/>
      <c r="B95" s="15"/>
      <c r="C95" s="15"/>
      <c r="D95" s="15"/>
      <c r="E95" s="15"/>
      <c r="F95" s="15"/>
      <c r="G95" s="15"/>
      <c r="H95" s="15"/>
      <c r="I95" s="193" t="s">
        <v>182</v>
      </c>
      <c r="J95" s="194"/>
      <c r="K95" s="194"/>
      <c r="L95" s="194"/>
      <c r="M95" s="194"/>
      <c r="N95" s="194"/>
      <c r="O95" s="195"/>
      <c r="P95" s="196"/>
      <c r="Q95" s="197">
        <f>Q94+Q93</f>
        <v>0</v>
      </c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62"/>
      <c r="AH95" s="62"/>
      <c r="AI95" s="62"/>
      <c r="AJ95" s="62"/>
      <c r="AK95" s="62"/>
      <c r="AL95" s="62"/>
      <c r="AM95" s="62"/>
      <c r="AN95" s="62"/>
      <c r="AO95" s="62"/>
    </row>
    <row r="96" spans="1:41" ht="19.5" customHeight="1" x14ac:dyDescent="0.2">
      <c r="A96" s="15"/>
      <c r="B96" s="15"/>
      <c r="C96" s="15"/>
      <c r="D96" s="15"/>
      <c r="E96" s="15"/>
      <c r="F96" s="15"/>
      <c r="G96" s="15"/>
      <c r="H96" s="15"/>
      <c r="I96" s="19"/>
      <c r="J96" s="19"/>
      <c r="K96" s="19"/>
      <c r="L96" s="19"/>
      <c r="M96" s="19"/>
      <c r="N96" s="19"/>
      <c r="O96" s="19"/>
      <c r="P96" s="19"/>
      <c r="Q96" s="19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62"/>
      <c r="AH96" s="62"/>
      <c r="AI96" s="62"/>
      <c r="AJ96" s="62"/>
      <c r="AK96" s="62"/>
      <c r="AL96" s="62"/>
      <c r="AM96" s="62"/>
      <c r="AN96" s="62"/>
      <c r="AO96" s="62"/>
    </row>
    <row r="97" spans="1:41" ht="19.5" customHeight="1" x14ac:dyDescent="0.2">
      <c r="A97" s="15"/>
      <c r="B97" s="15"/>
      <c r="C97" s="15"/>
      <c r="D97" s="15"/>
      <c r="E97" s="15"/>
      <c r="F97" s="15"/>
      <c r="G97" s="15"/>
      <c r="H97" s="15"/>
      <c r="I97" s="19"/>
      <c r="J97" s="19"/>
      <c r="K97" s="19"/>
      <c r="L97" s="19"/>
      <c r="M97" s="19"/>
      <c r="N97" s="19"/>
      <c r="O97" s="19"/>
      <c r="P97" s="19"/>
      <c r="Q97" s="19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62"/>
      <c r="AH97" s="62"/>
      <c r="AI97" s="62"/>
      <c r="AJ97" s="62"/>
      <c r="AK97" s="62"/>
      <c r="AL97" s="62"/>
      <c r="AM97" s="62"/>
      <c r="AN97" s="62"/>
      <c r="AO97" s="62"/>
    </row>
    <row r="98" spans="1:41" ht="19.5" customHeight="1" x14ac:dyDescent="0.2">
      <c r="A98" s="15"/>
      <c r="B98" s="15"/>
      <c r="C98" s="15"/>
      <c r="D98" s="15"/>
      <c r="E98" s="15"/>
      <c r="F98" s="15"/>
      <c r="G98" s="15"/>
      <c r="H98" s="15"/>
      <c r="I98" s="19"/>
      <c r="J98" s="19"/>
      <c r="K98" s="19"/>
      <c r="L98" s="19"/>
      <c r="M98" s="206"/>
      <c r="N98" s="206"/>
      <c r="O98" s="206"/>
      <c r="P98" s="206"/>
      <c r="Q98" s="206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62"/>
      <c r="AH98" s="62"/>
      <c r="AI98" s="62"/>
      <c r="AJ98" s="62"/>
      <c r="AK98" s="62"/>
      <c r="AL98" s="62"/>
      <c r="AM98" s="62"/>
      <c r="AN98" s="62"/>
      <c r="AO98" s="62"/>
    </row>
    <row r="99" spans="1:41" ht="19.5" customHeight="1" x14ac:dyDescent="0.2">
      <c r="A99" s="15"/>
      <c r="B99" s="15"/>
      <c r="C99" s="15"/>
      <c r="D99" s="15"/>
      <c r="E99" s="15"/>
      <c r="F99" s="15"/>
      <c r="G99" s="15"/>
      <c r="H99" s="15"/>
      <c r="I99" s="207" t="s">
        <v>183</v>
      </c>
      <c r="J99" s="208"/>
      <c r="K99" s="209"/>
      <c r="L99" s="210" t="s">
        <v>184</v>
      </c>
      <c r="M99" s="211"/>
      <c r="N99" s="75"/>
      <c r="O99" s="75"/>
      <c r="P99" s="75"/>
      <c r="Q99" s="7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62"/>
      <c r="AH99" s="62"/>
      <c r="AI99" s="62"/>
      <c r="AJ99" s="62"/>
      <c r="AK99" s="62"/>
      <c r="AL99" s="62"/>
      <c r="AM99" s="62"/>
      <c r="AN99" s="62"/>
      <c r="AO99" s="62"/>
    </row>
    <row r="100" spans="1:41" ht="19.5" customHeight="1" x14ac:dyDescent="0.2">
      <c r="A100" s="15"/>
      <c r="B100" s="15"/>
      <c r="C100" s="15"/>
      <c r="D100" s="15"/>
      <c r="E100" s="15"/>
      <c r="F100" s="15"/>
      <c r="G100" s="15"/>
      <c r="H100" s="15"/>
      <c r="I100" s="212"/>
      <c r="J100" s="213"/>
      <c r="K100" s="214"/>
      <c r="L100" s="215" t="s">
        <v>185</v>
      </c>
      <c r="M100" s="216" t="s">
        <v>186</v>
      </c>
      <c r="N100" s="75"/>
      <c r="O100" s="75"/>
      <c r="P100" s="75"/>
      <c r="Q100" s="7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62"/>
      <c r="AH100" s="62"/>
      <c r="AI100" s="62"/>
      <c r="AJ100" s="62"/>
      <c r="AK100" s="62"/>
      <c r="AL100" s="62"/>
      <c r="AM100" s="62"/>
      <c r="AN100" s="62"/>
      <c r="AO100" s="62"/>
    </row>
    <row r="101" spans="1:41" ht="19.5" customHeight="1" x14ac:dyDescent="0.2">
      <c r="A101" s="15"/>
      <c r="B101" s="15"/>
      <c r="C101" s="15"/>
      <c r="D101" s="15"/>
      <c r="E101" s="15"/>
      <c r="F101" s="15"/>
      <c r="G101" s="15"/>
      <c r="H101" s="15"/>
      <c r="I101" s="217"/>
      <c r="J101" s="218"/>
      <c r="K101" s="219"/>
      <c r="L101" s="220"/>
      <c r="M101" s="221" t="str">
        <f t="shared" ref="M101:M108" si="7">IF(M85="","",M85)</f>
        <v/>
      </c>
      <c r="N101" s="75"/>
      <c r="O101" s="75"/>
      <c r="P101" s="75"/>
      <c r="Q101" s="7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62"/>
      <c r="AH101" s="62"/>
      <c r="AI101" s="62"/>
      <c r="AJ101" s="62"/>
      <c r="AK101" s="62"/>
      <c r="AL101" s="62"/>
      <c r="AM101" s="62"/>
      <c r="AN101" s="62"/>
      <c r="AO101" s="62"/>
    </row>
    <row r="102" spans="1:41" ht="19.5" customHeight="1" x14ac:dyDescent="0.2">
      <c r="A102" s="15"/>
      <c r="B102" s="15"/>
      <c r="C102" s="15"/>
      <c r="D102" s="15"/>
      <c r="E102" s="15"/>
      <c r="F102" s="15"/>
      <c r="G102" s="15"/>
      <c r="H102" s="15"/>
      <c r="I102" s="222"/>
      <c r="J102" s="223"/>
      <c r="K102" s="224"/>
      <c r="L102" s="225"/>
      <c r="M102" s="221" t="str">
        <f t="shared" si="7"/>
        <v/>
      </c>
      <c r="N102" s="75"/>
      <c r="O102" s="75"/>
      <c r="P102" s="75"/>
      <c r="Q102" s="7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62"/>
      <c r="AH102" s="62"/>
      <c r="AI102" s="62"/>
      <c r="AJ102" s="62"/>
      <c r="AK102" s="62"/>
      <c r="AL102" s="62"/>
      <c r="AM102" s="62"/>
      <c r="AN102" s="62"/>
      <c r="AO102" s="62"/>
    </row>
    <row r="103" spans="1:41" ht="19.5" customHeight="1" x14ac:dyDescent="0.2">
      <c r="A103" s="15"/>
      <c r="B103" s="15"/>
      <c r="C103" s="15"/>
      <c r="D103" s="15"/>
      <c r="E103" s="15"/>
      <c r="F103" s="15"/>
      <c r="G103" s="15"/>
      <c r="H103" s="15"/>
      <c r="I103" s="222"/>
      <c r="J103" s="223"/>
      <c r="K103" s="224"/>
      <c r="L103" s="225"/>
      <c r="M103" s="221" t="str">
        <f t="shared" si="7"/>
        <v/>
      </c>
      <c r="N103" s="75"/>
      <c r="O103" s="75"/>
      <c r="P103" s="75"/>
      <c r="Q103" s="7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62"/>
      <c r="AH103" s="62"/>
      <c r="AI103" s="62"/>
      <c r="AJ103" s="62"/>
      <c r="AK103" s="62"/>
      <c r="AL103" s="62"/>
      <c r="AM103" s="62"/>
      <c r="AN103" s="62"/>
      <c r="AO103" s="62"/>
    </row>
    <row r="104" spans="1:41" ht="19.5" customHeight="1" x14ac:dyDescent="0.2">
      <c r="A104" s="15"/>
      <c r="B104" s="15"/>
      <c r="C104" s="15"/>
      <c r="D104" s="15"/>
      <c r="E104" s="15"/>
      <c r="F104" s="15"/>
      <c r="G104" s="15"/>
      <c r="H104" s="15"/>
      <c r="I104" s="222"/>
      <c r="J104" s="223"/>
      <c r="K104" s="224"/>
      <c r="L104" s="225"/>
      <c r="M104" s="221" t="str">
        <f t="shared" si="7"/>
        <v/>
      </c>
      <c r="N104" s="75"/>
      <c r="O104" s="75"/>
      <c r="P104" s="75"/>
      <c r="Q104" s="7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62"/>
      <c r="AH104" s="62"/>
      <c r="AI104" s="62"/>
      <c r="AJ104" s="62"/>
      <c r="AK104" s="62"/>
      <c r="AL104" s="62"/>
      <c r="AM104" s="62"/>
      <c r="AN104" s="62"/>
      <c r="AO104" s="62"/>
    </row>
    <row r="105" spans="1:41" ht="19.5" customHeight="1" x14ac:dyDescent="0.2">
      <c r="A105" s="15"/>
      <c r="B105" s="15"/>
      <c r="C105" s="15"/>
      <c r="D105" s="15"/>
      <c r="E105" s="15"/>
      <c r="F105" s="15"/>
      <c r="G105" s="15"/>
      <c r="H105" s="15"/>
      <c r="I105" s="222" t="str">
        <f t="shared" ref="I105:I108" si="8">IF(I89="","",I89)</f>
        <v/>
      </c>
      <c r="J105" s="223"/>
      <c r="K105" s="224"/>
      <c r="L105" s="225"/>
      <c r="M105" s="221" t="str">
        <f t="shared" si="7"/>
        <v/>
      </c>
      <c r="N105" s="75"/>
      <c r="O105" s="75"/>
      <c r="P105" s="75"/>
      <c r="Q105" s="7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62"/>
      <c r="AH105" s="62"/>
      <c r="AI105" s="62"/>
      <c r="AJ105" s="62"/>
      <c r="AK105" s="62"/>
      <c r="AL105" s="62"/>
      <c r="AM105" s="62"/>
      <c r="AN105" s="62"/>
      <c r="AO105" s="62"/>
    </row>
    <row r="106" spans="1:41" ht="19.5" customHeight="1" x14ac:dyDescent="0.2">
      <c r="A106" s="15"/>
      <c r="B106" s="15"/>
      <c r="C106" s="15"/>
      <c r="D106" s="15"/>
      <c r="E106" s="15"/>
      <c r="F106" s="15"/>
      <c r="G106" s="15"/>
      <c r="H106" s="15"/>
      <c r="I106" s="222" t="str">
        <f t="shared" si="8"/>
        <v/>
      </c>
      <c r="J106" s="223"/>
      <c r="K106" s="224"/>
      <c r="L106" s="225"/>
      <c r="M106" s="221" t="str">
        <f t="shared" si="7"/>
        <v/>
      </c>
      <c r="N106" s="75"/>
      <c r="O106" s="75"/>
      <c r="P106" s="75"/>
      <c r="Q106" s="7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62"/>
      <c r="AH106" s="62"/>
      <c r="AI106" s="62"/>
      <c r="AJ106" s="62"/>
      <c r="AK106" s="62"/>
      <c r="AL106" s="62"/>
      <c r="AM106" s="62"/>
      <c r="AN106" s="62"/>
      <c r="AO106" s="62"/>
    </row>
    <row r="107" spans="1:41" ht="19.5" customHeight="1" x14ac:dyDescent="0.2">
      <c r="A107" s="15"/>
      <c r="B107" s="15"/>
      <c r="C107" s="15"/>
      <c r="D107" s="15"/>
      <c r="E107" s="15"/>
      <c r="F107" s="15"/>
      <c r="G107" s="15"/>
      <c r="H107" s="15"/>
      <c r="I107" s="222" t="str">
        <f t="shared" si="8"/>
        <v/>
      </c>
      <c r="J107" s="223"/>
      <c r="K107" s="224"/>
      <c r="L107" s="225"/>
      <c r="M107" s="221" t="str">
        <f t="shared" si="7"/>
        <v/>
      </c>
      <c r="N107" s="75"/>
      <c r="O107" s="75"/>
      <c r="P107" s="75"/>
      <c r="Q107" s="7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62"/>
      <c r="AH107" s="62"/>
      <c r="AI107" s="62"/>
      <c r="AJ107" s="62"/>
      <c r="AK107" s="62"/>
      <c r="AL107" s="62"/>
      <c r="AM107" s="62"/>
      <c r="AN107" s="62"/>
      <c r="AO107" s="62"/>
    </row>
    <row r="108" spans="1:41" ht="19.5" customHeight="1" x14ac:dyDescent="0.2">
      <c r="A108" s="15"/>
      <c r="B108" s="15"/>
      <c r="C108" s="15"/>
      <c r="D108" s="15"/>
      <c r="E108" s="15"/>
      <c r="F108" s="15"/>
      <c r="G108" s="15"/>
      <c r="H108" s="15"/>
      <c r="I108" s="222" t="str">
        <f t="shared" si="8"/>
        <v/>
      </c>
      <c r="J108" s="223"/>
      <c r="K108" s="224"/>
      <c r="L108" s="225"/>
      <c r="M108" s="221" t="str">
        <f t="shared" si="7"/>
        <v/>
      </c>
      <c r="N108" s="75"/>
      <c r="O108" s="75"/>
      <c r="P108" s="75"/>
      <c r="Q108" s="7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62"/>
      <c r="AH108" s="62"/>
      <c r="AI108" s="62"/>
      <c r="AJ108" s="62"/>
      <c r="AK108" s="62"/>
      <c r="AL108" s="62"/>
      <c r="AM108" s="62"/>
      <c r="AN108" s="62"/>
      <c r="AO108" s="62"/>
    </row>
    <row r="109" spans="1:41" ht="19.5" customHeight="1" x14ac:dyDescent="0.2">
      <c r="A109" s="15"/>
      <c r="B109" s="15"/>
      <c r="C109" s="15"/>
      <c r="D109" s="15"/>
      <c r="E109" s="15"/>
      <c r="F109" s="15"/>
      <c r="G109" s="15"/>
      <c r="H109" s="15"/>
      <c r="I109" s="75"/>
      <c r="J109" s="75"/>
      <c r="K109" s="75"/>
      <c r="L109" s="75"/>
      <c r="M109" s="31"/>
      <c r="N109" s="31"/>
      <c r="O109" s="31"/>
      <c r="P109" s="31"/>
      <c r="Q109" s="31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62"/>
      <c r="AH109" s="62"/>
      <c r="AI109" s="62"/>
      <c r="AJ109" s="62"/>
      <c r="AK109" s="62"/>
      <c r="AL109" s="62"/>
      <c r="AM109" s="62"/>
      <c r="AN109" s="62"/>
      <c r="AO109" s="62"/>
    </row>
    <row r="110" spans="1:41" ht="19.5" customHeight="1" x14ac:dyDescent="0.2">
      <c r="A110" s="15"/>
      <c r="B110" s="15"/>
      <c r="C110" s="15"/>
      <c r="D110" s="15"/>
      <c r="E110" s="15"/>
      <c r="F110" s="15"/>
      <c r="G110" s="15"/>
      <c r="H110" s="15"/>
      <c r="I110" s="75"/>
      <c r="J110" s="75"/>
      <c r="K110" s="75"/>
      <c r="L110" s="75"/>
      <c r="M110" s="75"/>
      <c r="N110" s="75"/>
      <c r="O110" s="75"/>
      <c r="P110" s="75"/>
      <c r="Q110" s="7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62"/>
      <c r="AH110" s="62"/>
      <c r="AI110" s="62"/>
      <c r="AJ110" s="62"/>
      <c r="AK110" s="62"/>
      <c r="AL110" s="62"/>
      <c r="AM110" s="62"/>
      <c r="AN110" s="62"/>
      <c r="AO110" s="62"/>
    </row>
    <row r="111" spans="1:41" ht="19.5" customHeight="1" x14ac:dyDescent="0.2">
      <c r="A111" s="15"/>
      <c r="B111" s="15"/>
      <c r="C111" s="15"/>
      <c r="D111" s="15"/>
      <c r="E111" s="15"/>
      <c r="F111" s="15"/>
      <c r="G111" s="15"/>
      <c r="H111" s="15"/>
      <c r="I111" s="226" t="s">
        <v>187</v>
      </c>
      <c r="J111" s="226"/>
      <c r="K111" s="226"/>
      <c r="L111" s="226"/>
      <c r="M111" s="226"/>
      <c r="N111" s="226"/>
      <c r="O111" s="226"/>
      <c r="P111" s="226"/>
      <c r="Q111" s="226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62"/>
      <c r="AH111" s="62"/>
      <c r="AI111" s="62"/>
      <c r="AJ111" s="62"/>
      <c r="AK111" s="62"/>
      <c r="AL111" s="62"/>
      <c r="AM111" s="62"/>
      <c r="AN111" s="62"/>
      <c r="AO111" s="62"/>
    </row>
    <row r="112" spans="1:41" ht="19.5" customHeight="1" x14ac:dyDescent="0.2">
      <c r="A112" s="15"/>
      <c r="B112" s="15"/>
      <c r="C112" s="15"/>
      <c r="D112" s="15"/>
      <c r="E112" s="15"/>
      <c r="F112" s="15"/>
      <c r="G112" s="15"/>
      <c r="H112" s="15"/>
      <c r="I112" s="74"/>
      <c r="J112" s="74"/>
      <c r="K112" s="74"/>
      <c r="L112" s="74"/>
      <c r="M112" s="74"/>
      <c r="N112" s="74"/>
      <c r="O112" s="74"/>
      <c r="P112" s="74"/>
      <c r="Q112" s="74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62"/>
      <c r="AH112" s="62"/>
      <c r="AI112" s="62"/>
      <c r="AJ112" s="62"/>
      <c r="AK112" s="62"/>
      <c r="AL112" s="62"/>
      <c r="AM112" s="62"/>
      <c r="AN112" s="62"/>
      <c r="AO112" s="62"/>
    </row>
    <row r="113" spans="1:41" ht="19.5" customHeight="1" x14ac:dyDescent="0.2">
      <c r="A113" s="15"/>
      <c r="B113" s="15"/>
      <c r="C113" s="15"/>
      <c r="D113" s="15"/>
      <c r="E113" s="15"/>
      <c r="F113" s="15"/>
      <c r="G113" s="15"/>
      <c r="H113" s="15"/>
      <c r="I113" s="75"/>
      <c r="J113" s="75"/>
      <c r="K113" s="75"/>
      <c r="L113" s="75"/>
      <c r="M113" s="75"/>
      <c r="N113" s="75"/>
      <c r="O113" s="75"/>
      <c r="P113" s="75"/>
      <c r="Q113" s="7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62"/>
      <c r="AH113" s="62"/>
      <c r="AI113" s="62"/>
      <c r="AJ113" s="62"/>
      <c r="AK113" s="62"/>
      <c r="AL113" s="62"/>
      <c r="AM113" s="62"/>
      <c r="AN113" s="62"/>
      <c r="AO113" s="62"/>
    </row>
    <row r="114" spans="1:41" ht="19.5" customHeight="1" x14ac:dyDescent="0.2">
      <c r="A114" s="15"/>
      <c r="B114" s="15"/>
      <c r="C114" s="15"/>
      <c r="D114" s="15"/>
      <c r="E114" s="15"/>
      <c r="F114" s="15"/>
      <c r="G114" s="15"/>
      <c r="H114" s="15"/>
      <c r="I114" s="75"/>
      <c r="J114" s="75"/>
      <c r="K114" s="75"/>
      <c r="L114" s="75"/>
      <c r="M114" s="227" t="e">
        <f>IF(#REF!="","",#REF!)</f>
        <v>#REF!</v>
      </c>
      <c r="N114" s="227"/>
      <c r="O114" s="228">
        <f ca="1">TODAY()</f>
        <v>43181</v>
      </c>
      <c r="P114" s="228"/>
      <c r="Q114" s="228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62"/>
      <c r="AH114" s="62"/>
      <c r="AI114" s="62"/>
      <c r="AJ114" s="62"/>
      <c r="AK114" s="62"/>
      <c r="AL114" s="62"/>
      <c r="AM114" s="62"/>
      <c r="AN114" s="62"/>
      <c r="AO114" s="62"/>
    </row>
    <row r="115" spans="1:41" ht="19.5" customHeight="1" x14ac:dyDescent="0.2">
      <c r="A115" s="15"/>
      <c r="B115" s="15"/>
      <c r="C115" s="15"/>
      <c r="D115" s="15"/>
      <c r="E115" s="15"/>
      <c r="F115" s="15"/>
      <c r="G115" s="15"/>
      <c r="H115" s="15"/>
      <c r="I115" s="75"/>
      <c r="J115" s="75"/>
      <c r="K115" s="75"/>
      <c r="L115" s="75"/>
      <c r="M115" s="19"/>
      <c r="N115" s="19"/>
      <c r="O115" s="19"/>
      <c r="P115" s="19"/>
      <c r="Q115" s="19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62"/>
      <c r="AH115" s="62"/>
      <c r="AI115" s="62"/>
      <c r="AJ115" s="62"/>
      <c r="AK115" s="62"/>
      <c r="AL115" s="62"/>
      <c r="AM115" s="62"/>
      <c r="AN115" s="62"/>
      <c r="AO115" s="62"/>
    </row>
    <row r="116" spans="1:41" ht="19.5" customHeight="1" x14ac:dyDescent="0.2">
      <c r="A116" s="15"/>
      <c r="B116" s="15"/>
      <c r="C116" s="15"/>
      <c r="D116" s="15"/>
      <c r="E116" s="15"/>
      <c r="F116" s="15"/>
      <c r="G116" s="15"/>
      <c r="H116" s="15"/>
      <c r="I116" s="75"/>
      <c r="J116" s="75"/>
      <c r="K116" s="75"/>
      <c r="L116" s="75"/>
      <c r="M116" s="19"/>
      <c r="N116" s="19"/>
      <c r="O116" s="19"/>
      <c r="P116" s="19"/>
      <c r="Q116" s="19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62"/>
      <c r="AH116" s="62"/>
      <c r="AI116" s="62"/>
      <c r="AJ116" s="62"/>
      <c r="AK116" s="62"/>
      <c r="AL116" s="62"/>
      <c r="AM116" s="62"/>
      <c r="AN116" s="62"/>
      <c r="AO116" s="62"/>
    </row>
    <row r="117" spans="1:41" ht="19.5" customHeight="1" x14ac:dyDescent="0.2">
      <c r="A117" s="15"/>
      <c r="B117" s="15"/>
      <c r="C117" s="15"/>
      <c r="D117" s="15"/>
      <c r="E117" s="15"/>
      <c r="F117" s="15"/>
      <c r="G117" s="15"/>
      <c r="H117" s="15"/>
      <c r="I117" s="75"/>
      <c r="J117" s="75"/>
      <c r="K117" s="75"/>
      <c r="L117" s="75"/>
      <c r="M117" s="229"/>
      <c r="N117" s="229"/>
      <c r="O117" s="229"/>
      <c r="P117" s="229"/>
      <c r="Q117" s="229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62"/>
      <c r="AH117" s="62"/>
      <c r="AI117" s="62"/>
      <c r="AJ117" s="62"/>
      <c r="AK117" s="62"/>
      <c r="AL117" s="62"/>
      <c r="AM117" s="62"/>
      <c r="AN117" s="62"/>
      <c r="AO117" s="62"/>
    </row>
    <row r="118" spans="1:41" ht="19.5" customHeight="1" x14ac:dyDescent="0.2">
      <c r="A118" s="15"/>
      <c r="B118" s="15"/>
      <c r="C118" s="15"/>
      <c r="D118" s="15"/>
      <c r="E118" s="15"/>
      <c r="F118" s="15"/>
      <c r="G118" s="15"/>
      <c r="H118" s="15"/>
      <c r="I118" s="75"/>
      <c r="J118" s="75"/>
      <c r="K118" s="75"/>
      <c r="L118" s="75"/>
      <c r="M118" s="206"/>
      <c r="N118" s="206"/>
      <c r="O118" s="206"/>
      <c r="P118" s="206"/>
      <c r="Q118" s="206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62"/>
      <c r="AH118" s="62"/>
      <c r="AI118" s="62"/>
      <c r="AJ118" s="62"/>
      <c r="AK118" s="62"/>
      <c r="AL118" s="62"/>
      <c r="AM118" s="62"/>
      <c r="AN118" s="62"/>
      <c r="AO118" s="62"/>
    </row>
    <row r="119" spans="1:41" ht="19.5" customHeight="1" x14ac:dyDescent="0.2">
      <c r="A119" s="15"/>
      <c r="B119" s="15"/>
      <c r="C119" s="15"/>
      <c r="D119" s="15"/>
      <c r="E119" s="15"/>
      <c r="F119" s="15"/>
      <c r="G119" s="15"/>
      <c r="H119" s="15"/>
      <c r="I119" s="75"/>
      <c r="J119" s="75"/>
      <c r="K119" s="75"/>
      <c r="L119" s="75"/>
      <c r="M119" s="19" t="e">
        <f>IF(#REF!="","",#REF!)</f>
        <v>#REF!</v>
      </c>
      <c r="N119" s="19"/>
      <c r="O119" s="19"/>
      <c r="P119" s="19"/>
      <c r="Q119" s="19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62"/>
      <c r="AH119" s="62"/>
      <c r="AI119" s="62"/>
      <c r="AJ119" s="62"/>
      <c r="AK119" s="62"/>
      <c r="AL119" s="62"/>
      <c r="AM119" s="62"/>
      <c r="AN119" s="62"/>
      <c r="AO119" s="62"/>
    </row>
    <row r="120" spans="1:41" ht="19.5" customHeight="1" x14ac:dyDescent="0.2">
      <c r="A120" s="15"/>
      <c r="B120" s="15"/>
      <c r="C120" s="15"/>
      <c r="D120" s="15"/>
      <c r="E120" s="15"/>
      <c r="F120" s="15"/>
      <c r="G120" s="15"/>
      <c r="H120" s="15"/>
      <c r="I120" s="24"/>
      <c r="J120" s="24"/>
      <c r="K120" s="24"/>
      <c r="L120" s="24"/>
      <c r="M120" s="24"/>
      <c r="N120" s="24"/>
      <c r="O120" s="24"/>
      <c r="P120" s="24"/>
      <c r="Q120" s="24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62"/>
      <c r="AH120" s="62"/>
      <c r="AI120" s="62"/>
      <c r="AJ120" s="62"/>
      <c r="AK120" s="62"/>
      <c r="AL120" s="62"/>
      <c r="AM120" s="62"/>
      <c r="AN120" s="62"/>
      <c r="AO120" s="62"/>
    </row>
    <row r="121" spans="1:41" ht="19.5" customHeight="1" x14ac:dyDescent="0.2">
      <c r="A121" s="15"/>
      <c r="B121" s="15"/>
      <c r="C121" s="15"/>
      <c r="D121" s="15"/>
      <c r="E121" s="15"/>
      <c r="F121" s="15"/>
      <c r="G121" s="15"/>
      <c r="H121" s="15"/>
      <c r="I121" s="24"/>
      <c r="J121" s="24"/>
      <c r="K121" s="24"/>
      <c r="L121" s="24"/>
      <c r="M121" s="24"/>
      <c r="N121" s="24"/>
      <c r="O121" s="24"/>
      <c r="P121" s="24"/>
      <c r="Q121" s="24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62"/>
      <c r="AH121" s="62"/>
      <c r="AI121" s="62"/>
      <c r="AJ121" s="62"/>
      <c r="AK121" s="62"/>
      <c r="AL121" s="62"/>
      <c r="AM121" s="62"/>
      <c r="AN121" s="62"/>
      <c r="AO121" s="62"/>
    </row>
    <row r="122" spans="1:41" ht="19.5" customHeight="1" x14ac:dyDescent="0.2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62"/>
      <c r="AH122" s="62"/>
      <c r="AI122" s="62"/>
      <c r="AJ122" s="62"/>
      <c r="AK122" s="62"/>
      <c r="AL122" s="62"/>
      <c r="AM122" s="62"/>
      <c r="AN122" s="62"/>
      <c r="AO122" s="62"/>
    </row>
    <row r="123" spans="1:41" ht="19.5" customHeight="1" x14ac:dyDescent="0.2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62"/>
      <c r="AH123" s="62"/>
      <c r="AI123" s="62"/>
      <c r="AJ123" s="62"/>
      <c r="AK123" s="62"/>
      <c r="AL123" s="62"/>
      <c r="AM123" s="62"/>
      <c r="AN123" s="62"/>
      <c r="AO123" s="62"/>
    </row>
    <row r="124" spans="1:41" ht="19.5" customHeight="1" x14ac:dyDescent="0.2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62"/>
      <c r="AH124" s="62"/>
      <c r="AI124" s="62"/>
      <c r="AJ124" s="62"/>
      <c r="AK124" s="62"/>
      <c r="AL124" s="62"/>
      <c r="AM124" s="62"/>
      <c r="AN124" s="62"/>
      <c r="AO124" s="62"/>
    </row>
    <row r="125" spans="1:41" ht="12.75" customHeight="1" x14ac:dyDescent="0.2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62"/>
      <c r="AH125" s="62"/>
      <c r="AI125" s="62"/>
      <c r="AJ125" s="62"/>
      <c r="AK125" s="62"/>
      <c r="AL125" s="62"/>
      <c r="AM125" s="62"/>
      <c r="AN125" s="62"/>
      <c r="AO125" s="62"/>
    </row>
    <row r="126" spans="1:41" ht="12.75" customHeight="1" x14ac:dyDescent="0.2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62"/>
      <c r="AH126" s="62"/>
      <c r="AI126" s="62"/>
      <c r="AJ126" s="62"/>
      <c r="AK126" s="62"/>
      <c r="AL126" s="62"/>
      <c r="AM126" s="62"/>
      <c r="AN126" s="62"/>
      <c r="AO126" s="62"/>
    </row>
    <row r="127" spans="1:41" ht="12.75" customHeight="1" x14ac:dyDescent="0.2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62"/>
      <c r="AH127" s="62"/>
      <c r="AI127" s="62"/>
      <c r="AJ127" s="62"/>
      <c r="AK127" s="62"/>
      <c r="AL127" s="62"/>
      <c r="AM127" s="62"/>
      <c r="AN127" s="62"/>
      <c r="AO127" s="62"/>
    </row>
    <row r="128" spans="1:41" ht="12.75" customHeight="1" x14ac:dyDescent="0.2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62"/>
      <c r="AH128" s="62"/>
      <c r="AI128" s="62"/>
      <c r="AJ128" s="62"/>
      <c r="AK128" s="62"/>
      <c r="AL128" s="62"/>
      <c r="AM128" s="62"/>
      <c r="AN128" s="62"/>
      <c r="AO128" s="62"/>
    </row>
    <row r="129" spans="1:41" ht="12.75" customHeight="1" x14ac:dyDescent="0.2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62"/>
      <c r="AH129" s="62"/>
      <c r="AI129" s="62"/>
      <c r="AJ129" s="62"/>
      <c r="AK129" s="62"/>
      <c r="AL129" s="62"/>
      <c r="AM129" s="62"/>
      <c r="AN129" s="62"/>
      <c r="AO129" s="62"/>
    </row>
    <row r="130" spans="1:41" ht="12.75" customHeight="1" x14ac:dyDescent="0.2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</row>
    <row r="131" spans="1:41" ht="12.75" customHeight="1" x14ac:dyDescent="0.2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</row>
    <row r="132" spans="1:41" ht="12.75" customHeight="1" x14ac:dyDescent="0.2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</row>
    <row r="133" spans="1:41" ht="12.75" customHeight="1" x14ac:dyDescent="0.2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</row>
    <row r="134" spans="1:41" ht="12.75" customHeight="1" x14ac:dyDescent="0.2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</row>
    <row r="135" spans="1:41" ht="12.75" customHeight="1" x14ac:dyDescent="0.2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</row>
    <row r="136" spans="1:41" ht="12.75" customHeight="1" x14ac:dyDescent="0.2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</row>
    <row r="137" spans="1:41" ht="12.75" customHeight="1" x14ac:dyDescent="0.2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</row>
    <row r="138" spans="1:41" ht="12.75" customHeight="1" x14ac:dyDescent="0.2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</row>
    <row r="139" spans="1:41" ht="12.75" customHeight="1" x14ac:dyDescent="0.2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</row>
    <row r="140" spans="1:41" ht="12.75" customHeight="1" x14ac:dyDescent="0.2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</row>
    <row r="141" spans="1:41" ht="12.75" customHeight="1" x14ac:dyDescent="0.2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</row>
    <row r="142" spans="1:41" ht="12.75" customHeight="1" x14ac:dyDescent="0.2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</row>
    <row r="143" spans="1:41" ht="12.75" customHeight="1" x14ac:dyDescent="0.2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</row>
    <row r="144" spans="1:41" ht="12.75" customHeight="1" x14ac:dyDescent="0.2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</row>
    <row r="145" spans="1:41" ht="12.75" customHeight="1" x14ac:dyDescent="0.2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</row>
    <row r="146" spans="1:41" ht="12.75" customHeight="1" x14ac:dyDescent="0.2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</row>
    <row r="147" spans="1:41" ht="12.75" customHeight="1" x14ac:dyDescent="0.2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</row>
    <row r="148" spans="1:41" ht="12.75" customHeight="1" x14ac:dyDescent="0.2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</row>
    <row r="149" spans="1:41" ht="12.75" customHeight="1" x14ac:dyDescent="0.2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</row>
    <row r="150" spans="1:41" ht="12.75" customHeight="1" x14ac:dyDescent="0.2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</row>
    <row r="151" spans="1:41" ht="12.75" customHeight="1" x14ac:dyDescent="0.2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</row>
    <row r="152" spans="1:41" ht="12.75" customHeight="1" x14ac:dyDescent="0.2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</row>
    <row r="153" spans="1:41" ht="12.75" customHeight="1" x14ac:dyDescent="0.2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</row>
    <row r="154" spans="1:41" ht="12.75" customHeight="1" x14ac:dyDescent="0.2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</row>
    <row r="155" spans="1:41" ht="12.75" customHeight="1" x14ac:dyDescent="0.2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</row>
    <row r="156" spans="1:41" ht="12.75" customHeight="1" x14ac:dyDescent="0.2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</row>
    <row r="157" spans="1:41" ht="12.75" customHeight="1" x14ac:dyDescent="0.2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</row>
    <row r="158" spans="1:41" ht="12.75" customHeight="1" x14ac:dyDescent="0.2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</row>
    <row r="159" spans="1:41" ht="12.75" customHeight="1" x14ac:dyDescent="0.2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</row>
    <row r="160" spans="1:41" ht="12.75" customHeight="1" x14ac:dyDescent="0.2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</row>
    <row r="161" spans="1:41" ht="12.7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</row>
    <row r="162" spans="1:41" ht="12.7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</row>
    <row r="163" spans="1:41" ht="12.75" customHeight="1" x14ac:dyDescent="0.2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</row>
    <row r="164" spans="1:41" ht="12.75" customHeight="1" x14ac:dyDescent="0.2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</row>
    <row r="165" spans="1:41" ht="12.75" customHeight="1" x14ac:dyDescent="0.2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62"/>
      <c r="AH165" s="62"/>
      <c r="AI165" s="62"/>
      <c r="AJ165" s="62"/>
      <c r="AK165" s="62"/>
      <c r="AL165" s="62"/>
      <c r="AM165" s="62"/>
      <c r="AN165" s="62"/>
      <c r="AO165" s="62"/>
    </row>
    <row r="166" spans="1:41" ht="12.75" customHeight="1" x14ac:dyDescent="0.2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</row>
    <row r="167" spans="1:41" ht="12.75" customHeight="1" x14ac:dyDescent="0.2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</row>
    <row r="168" spans="1:41" ht="12.75" customHeight="1" x14ac:dyDescent="0.2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</row>
    <row r="169" spans="1:41" ht="12.75" customHeight="1" x14ac:dyDescent="0.2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</row>
    <row r="170" spans="1:41" ht="12.75" customHeight="1" x14ac:dyDescent="0.2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</row>
    <row r="171" spans="1:41" ht="12.75" customHeight="1" x14ac:dyDescent="0.2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</row>
    <row r="172" spans="1:41" ht="12.75" customHeight="1" x14ac:dyDescent="0.2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</row>
    <row r="173" spans="1:41" ht="12.75" customHeight="1" x14ac:dyDescent="0.2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</row>
    <row r="174" spans="1:41" ht="12.75" customHeight="1" x14ac:dyDescent="0.2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</row>
    <row r="175" spans="1:41" ht="12.75" customHeight="1" x14ac:dyDescent="0.2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</row>
    <row r="176" spans="1:41" ht="12.75" customHeight="1" x14ac:dyDescent="0.2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</row>
    <row r="177" spans="1:41" ht="12.75" customHeight="1" x14ac:dyDescent="0.2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</row>
    <row r="178" spans="1:41" ht="12.75" customHeight="1" x14ac:dyDescent="0.2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</row>
    <row r="179" spans="1:41" ht="12.75" customHeight="1" x14ac:dyDescent="0.2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</row>
    <row r="180" spans="1:41" ht="12.75" customHeight="1" x14ac:dyDescent="0.2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</row>
    <row r="181" spans="1:41" ht="12.75" customHeight="1" x14ac:dyDescent="0.2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</row>
    <row r="182" spans="1:41" ht="12.75" customHeight="1" x14ac:dyDescent="0.2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</row>
    <row r="183" spans="1:41" ht="12.75" customHeight="1" x14ac:dyDescent="0.2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</row>
    <row r="184" spans="1:41" ht="12.75" customHeight="1" x14ac:dyDescent="0.2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</row>
    <row r="185" spans="1:41" ht="12.75" customHeight="1" x14ac:dyDescent="0.2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</row>
    <row r="186" spans="1:41" ht="12.7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</row>
    <row r="187" spans="1:41" ht="12.75" customHeight="1" x14ac:dyDescent="0.2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</row>
    <row r="188" spans="1:41" ht="12.75" customHeight="1" x14ac:dyDescent="0.2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</row>
    <row r="189" spans="1:41" ht="12.75" customHeight="1" x14ac:dyDescent="0.2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</row>
    <row r="190" spans="1:41" ht="12.75" customHeight="1" x14ac:dyDescent="0.2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</row>
    <row r="191" spans="1:41" ht="12.75" customHeight="1" x14ac:dyDescent="0.2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</row>
    <row r="192" spans="1:41" ht="12.75" customHeight="1" x14ac:dyDescent="0.2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</row>
    <row r="193" spans="1:41" ht="12.75" customHeight="1" x14ac:dyDescent="0.2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</row>
    <row r="194" spans="1:41" ht="12.75" customHeight="1" x14ac:dyDescent="0.2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</row>
    <row r="195" spans="1:41" ht="12.75" customHeight="1" x14ac:dyDescent="0.2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</row>
    <row r="196" spans="1:41" ht="12.75" customHeight="1" x14ac:dyDescent="0.2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</row>
    <row r="197" spans="1:41" ht="12.75" customHeight="1" x14ac:dyDescent="0.2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</row>
    <row r="198" spans="1:41" ht="12.75" customHeight="1" x14ac:dyDescent="0.2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</row>
    <row r="199" spans="1:41" ht="12.75" customHeight="1" x14ac:dyDescent="0.2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</row>
    <row r="200" spans="1:41" ht="12.75" customHeight="1" x14ac:dyDescent="0.2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</row>
    <row r="201" spans="1:41" ht="12.75" customHeight="1" x14ac:dyDescent="0.2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</row>
    <row r="202" spans="1:41" ht="12.75" customHeight="1" x14ac:dyDescent="0.2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</row>
    <row r="203" spans="1:41" ht="12.75" customHeight="1" x14ac:dyDescent="0.2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</row>
    <row r="204" spans="1:41" ht="12.75" customHeight="1" x14ac:dyDescent="0.2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</row>
    <row r="205" spans="1:41" ht="12.75" customHeight="1" x14ac:dyDescent="0.2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</row>
    <row r="206" spans="1:41" ht="12.75" customHeight="1" x14ac:dyDescent="0.2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</row>
    <row r="207" spans="1:41" ht="12.75" customHeight="1" x14ac:dyDescent="0.2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</row>
    <row r="208" spans="1:41" ht="12.75" customHeight="1" x14ac:dyDescent="0.2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</row>
    <row r="209" spans="1:41" ht="12.75" customHeight="1" x14ac:dyDescent="0.2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</row>
    <row r="210" spans="1:41" ht="12.75" customHeight="1" x14ac:dyDescent="0.2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</row>
    <row r="211" spans="1:41" ht="12.75" customHeight="1" x14ac:dyDescent="0.2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</row>
    <row r="212" spans="1:41" ht="12.75" customHeight="1" x14ac:dyDescent="0.2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</row>
    <row r="213" spans="1:41" ht="12.75" customHeight="1" x14ac:dyDescent="0.2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</row>
    <row r="214" spans="1:41" ht="12.75" customHeight="1" x14ac:dyDescent="0.2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</row>
    <row r="215" spans="1:41" ht="12.75" customHeight="1" x14ac:dyDescent="0.2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</row>
    <row r="216" spans="1:41" ht="12.75" customHeight="1" x14ac:dyDescent="0.2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</row>
    <row r="217" spans="1:41" ht="12.75" customHeight="1" x14ac:dyDescent="0.2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</row>
    <row r="218" spans="1:41" ht="12.7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</row>
    <row r="219" spans="1:41" ht="12.75" customHeight="1" x14ac:dyDescent="0.2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</row>
    <row r="220" spans="1:41" ht="12.75" customHeight="1" x14ac:dyDescent="0.2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</row>
    <row r="221" spans="1:41" ht="12.75" customHeight="1" x14ac:dyDescent="0.2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</row>
    <row r="222" spans="1:41" ht="12.75" customHeight="1" x14ac:dyDescent="0.2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</row>
    <row r="223" spans="1:41" ht="12.75" customHeight="1" x14ac:dyDescent="0.2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</row>
    <row r="224" spans="1:41" ht="12.75" customHeight="1" x14ac:dyDescent="0.2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</row>
    <row r="225" spans="1:41" ht="12.75" customHeight="1" x14ac:dyDescent="0.2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</row>
    <row r="226" spans="1:41" ht="12.75" customHeight="1" x14ac:dyDescent="0.2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</row>
    <row r="227" spans="1:41" ht="12.75" customHeight="1" x14ac:dyDescent="0.2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</row>
    <row r="228" spans="1:41" ht="12.75" customHeight="1" x14ac:dyDescent="0.2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</row>
    <row r="229" spans="1:41" ht="12.75" customHeight="1" x14ac:dyDescent="0.2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</row>
    <row r="230" spans="1:41" ht="12.75" customHeight="1" x14ac:dyDescent="0.2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</row>
    <row r="231" spans="1:41" ht="12.75" customHeight="1" x14ac:dyDescent="0.2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</row>
    <row r="232" spans="1:41" ht="12.75" customHeight="1" x14ac:dyDescent="0.2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</row>
    <row r="233" spans="1:41" ht="12.75" customHeight="1" x14ac:dyDescent="0.2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</row>
    <row r="234" spans="1:41" ht="12.7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</row>
    <row r="235" spans="1:41" ht="12.75" customHeight="1" x14ac:dyDescent="0.2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</row>
    <row r="236" spans="1:41" ht="12.75" customHeight="1" x14ac:dyDescent="0.2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</row>
    <row r="237" spans="1:41" ht="12.75" customHeight="1" x14ac:dyDescent="0.2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</row>
    <row r="238" spans="1:41" ht="12.75" customHeight="1" x14ac:dyDescent="0.2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</row>
    <row r="239" spans="1:41" ht="12.75" customHeight="1" x14ac:dyDescent="0.2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</row>
    <row r="240" spans="1:41" ht="12.75" customHeight="1" x14ac:dyDescent="0.2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</row>
    <row r="241" spans="1:41" ht="12.75" customHeight="1" x14ac:dyDescent="0.2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</row>
    <row r="242" spans="1:41" ht="12.75" customHeight="1" x14ac:dyDescent="0.2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</row>
    <row r="243" spans="1:41" ht="12.75" customHeight="1" x14ac:dyDescent="0.2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</row>
    <row r="244" spans="1:41" ht="12.75" customHeight="1" x14ac:dyDescent="0.2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</row>
    <row r="245" spans="1:41" ht="12.75" customHeight="1" x14ac:dyDescent="0.2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</row>
    <row r="246" spans="1:41" ht="12.75" customHeight="1" x14ac:dyDescent="0.2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</row>
    <row r="247" spans="1:41" ht="12.75" customHeight="1" x14ac:dyDescent="0.2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</row>
    <row r="248" spans="1:41" ht="12.75" customHeight="1" x14ac:dyDescent="0.2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</row>
    <row r="249" spans="1:41" ht="12.75" customHeight="1" x14ac:dyDescent="0.2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</row>
    <row r="250" spans="1:41" ht="12.7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</row>
    <row r="251" spans="1:41" ht="12.75" customHeight="1" x14ac:dyDescent="0.2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</row>
    <row r="252" spans="1:41" ht="12.75" customHeight="1" x14ac:dyDescent="0.2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</row>
    <row r="253" spans="1:41" ht="12.75" customHeight="1" x14ac:dyDescent="0.2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</row>
    <row r="254" spans="1:41" ht="12.75" customHeight="1" x14ac:dyDescent="0.2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</row>
    <row r="255" spans="1:41" ht="12.75" customHeight="1" x14ac:dyDescent="0.2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</row>
    <row r="256" spans="1:41" ht="12.75" customHeight="1" x14ac:dyDescent="0.2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</row>
    <row r="257" spans="1:41" ht="12.75" customHeight="1" x14ac:dyDescent="0.2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</row>
    <row r="258" spans="1:41" ht="12.75" customHeight="1" x14ac:dyDescent="0.2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</row>
    <row r="259" spans="1:41" ht="12.75" customHeight="1" x14ac:dyDescent="0.2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</row>
    <row r="260" spans="1:41" ht="12.75" customHeight="1" x14ac:dyDescent="0.2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</row>
    <row r="261" spans="1:41" ht="12.75" customHeight="1" x14ac:dyDescent="0.2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</row>
    <row r="262" spans="1:41" ht="12.75" customHeight="1" x14ac:dyDescent="0.2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</row>
    <row r="263" spans="1:41" ht="12.75" customHeight="1" x14ac:dyDescent="0.2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</row>
    <row r="264" spans="1:41" ht="12.75" customHeight="1" x14ac:dyDescent="0.2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</row>
    <row r="265" spans="1:41" ht="12.75" customHeight="1" x14ac:dyDescent="0.2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</row>
    <row r="266" spans="1:41" ht="12.75" customHeight="1" x14ac:dyDescent="0.2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</row>
    <row r="267" spans="1:41" ht="12.75" customHeight="1" x14ac:dyDescent="0.2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</row>
    <row r="268" spans="1:41" ht="12.75" customHeight="1" x14ac:dyDescent="0.2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</row>
    <row r="269" spans="1:41" ht="12.75" customHeight="1" x14ac:dyDescent="0.2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</row>
    <row r="270" spans="1:41" ht="12.75" customHeight="1" x14ac:dyDescent="0.2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</row>
    <row r="271" spans="1:41" ht="12.75" customHeight="1" x14ac:dyDescent="0.2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</row>
    <row r="272" spans="1:41" ht="12.75" customHeight="1" x14ac:dyDescent="0.2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</row>
    <row r="273" spans="1:41" ht="12.75" customHeight="1" x14ac:dyDescent="0.2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</row>
    <row r="274" spans="1:41" ht="12.75" customHeight="1" x14ac:dyDescent="0.2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</row>
    <row r="275" spans="1:41" ht="12.75" customHeight="1" x14ac:dyDescent="0.2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</row>
    <row r="276" spans="1:41" ht="12.75" customHeight="1" x14ac:dyDescent="0.2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</row>
    <row r="277" spans="1:41" ht="12.75" customHeight="1" x14ac:dyDescent="0.2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</row>
    <row r="278" spans="1:41" ht="12.75" customHeight="1" x14ac:dyDescent="0.2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</row>
    <row r="279" spans="1:41" ht="12.75" customHeight="1" x14ac:dyDescent="0.2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</row>
    <row r="280" spans="1:41" ht="12.75" customHeight="1" x14ac:dyDescent="0.2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</row>
    <row r="281" spans="1:41" ht="12.7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</row>
    <row r="282" spans="1:41" ht="12.7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</row>
    <row r="283" spans="1:41" ht="12.7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</row>
    <row r="284" spans="1:41" ht="12.7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</row>
    <row r="285" spans="1:41" ht="12.75" customHeight="1" x14ac:dyDescent="0.2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</row>
    <row r="286" spans="1:41" ht="12.75" customHeight="1" x14ac:dyDescent="0.2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</row>
    <row r="287" spans="1:41" ht="12.75" customHeight="1" x14ac:dyDescent="0.2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</row>
    <row r="288" spans="1:41" ht="12.75" customHeight="1" x14ac:dyDescent="0.2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</row>
    <row r="289" spans="1:41" ht="12.75" customHeight="1" x14ac:dyDescent="0.2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</row>
    <row r="290" spans="1:41" ht="12.75" customHeight="1" x14ac:dyDescent="0.2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</row>
    <row r="291" spans="1:41" ht="12.7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</row>
    <row r="292" spans="1:41" ht="12.7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</row>
    <row r="293" spans="1:41" ht="12.75" customHeight="1" x14ac:dyDescent="0.2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</row>
    <row r="294" spans="1:41" ht="12.75" customHeight="1" x14ac:dyDescent="0.2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</row>
    <row r="295" spans="1:41" ht="12.75" customHeight="1" x14ac:dyDescent="0.2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</row>
    <row r="296" spans="1:41" ht="12.75" customHeight="1" x14ac:dyDescent="0.2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</row>
    <row r="297" spans="1:41" ht="12.75" customHeight="1" x14ac:dyDescent="0.2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</row>
    <row r="298" spans="1:41" ht="12.75" customHeight="1" x14ac:dyDescent="0.2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</row>
    <row r="299" spans="1:41" ht="12.75" customHeight="1" x14ac:dyDescent="0.2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</row>
    <row r="300" spans="1:41" ht="12.75" customHeight="1" x14ac:dyDescent="0.2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</row>
    <row r="301" spans="1:41" ht="12.75" customHeight="1" x14ac:dyDescent="0.2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</row>
    <row r="302" spans="1:41" ht="12.75" customHeight="1" x14ac:dyDescent="0.2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</row>
    <row r="303" spans="1:41" ht="12.75" customHeight="1" x14ac:dyDescent="0.2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</row>
    <row r="304" spans="1:41" ht="12.75" customHeight="1" x14ac:dyDescent="0.2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41" ht="12.75" customHeight="1" x14ac:dyDescent="0.2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</row>
    <row r="306" spans="1:41" ht="12.75" customHeight="1" x14ac:dyDescent="0.2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</row>
    <row r="307" spans="1:41" ht="12.75" customHeight="1" x14ac:dyDescent="0.2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</row>
    <row r="308" spans="1:41" ht="12.75" customHeight="1" x14ac:dyDescent="0.2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</row>
    <row r="309" spans="1:41" ht="12.75" customHeight="1" x14ac:dyDescent="0.2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</row>
    <row r="310" spans="1:41" ht="12.75" customHeight="1" x14ac:dyDescent="0.2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</row>
    <row r="311" spans="1:41" ht="12.75" customHeight="1" x14ac:dyDescent="0.2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</row>
    <row r="312" spans="1:41" ht="12.75" customHeight="1" x14ac:dyDescent="0.2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</row>
    <row r="313" spans="1:41" ht="12.75" customHeight="1" x14ac:dyDescent="0.2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</row>
    <row r="314" spans="1:41" ht="12.75" customHeight="1" x14ac:dyDescent="0.2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</row>
    <row r="315" spans="1:41" ht="12.75" customHeight="1" x14ac:dyDescent="0.2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</row>
    <row r="316" spans="1:41" ht="12.75" customHeight="1" x14ac:dyDescent="0.2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  <c r="AO316" s="62"/>
    </row>
    <row r="317" spans="1:41" ht="12.75" customHeight="1" x14ac:dyDescent="0.2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  <c r="AO317" s="62"/>
    </row>
    <row r="318" spans="1:41" ht="12.75" customHeight="1" x14ac:dyDescent="0.2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  <c r="AO318" s="62"/>
    </row>
    <row r="319" spans="1:41" ht="12.75" customHeight="1" x14ac:dyDescent="0.2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  <c r="AO319" s="62"/>
    </row>
    <row r="320" spans="1:41" ht="12.75" customHeight="1" x14ac:dyDescent="0.2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</row>
    <row r="321" spans="1:41" ht="12.75" customHeight="1" x14ac:dyDescent="0.2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  <c r="AO321" s="62"/>
    </row>
    <row r="322" spans="1:41" ht="12.75" customHeight="1" x14ac:dyDescent="0.2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  <c r="AO322" s="62"/>
    </row>
    <row r="323" spans="1:41" ht="12.75" customHeight="1" x14ac:dyDescent="0.2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</row>
    <row r="324" spans="1:41" ht="12.75" customHeight="1" x14ac:dyDescent="0.2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  <c r="AO324" s="62"/>
    </row>
    <row r="325" spans="1:41" ht="12.75" customHeight="1" x14ac:dyDescent="0.2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  <c r="AO325" s="62"/>
    </row>
    <row r="326" spans="1:41" ht="12.75" customHeight="1" x14ac:dyDescent="0.2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  <c r="AO326" s="62"/>
    </row>
    <row r="327" spans="1:41" ht="12.75" customHeight="1" x14ac:dyDescent="0.2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  <c r="AO327" s="62"/>
    </row>
    <row r="328" spans="1:41" ht="12.75" customHeight="1" x14ac:dyDescent="0.2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  <c r="AO328" s="62"/>
    </row>
    <row r="329" spans="1:41" ht="12.75" customHeight="1" x14ac:dyDescent="0.2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</row>
    <row r="330" spans="1:41" ht="12.75" customHeight="1" x14ac:dyDescent="0.2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/>
    </row>
    <row r="331" spans="1:41" ht="12.75" customHeight="1" x14ac:dyDescent="0.2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  <c r="AO331" s="62"/>
    </row>
    <row r="332" spans="1:41" ht="12.75" customHeight="1" x14ac:dyDescent="0.2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  <c r="AO332" s="62"/>
    </row>
    <row r="333" spans="1:41" ht="12.75" customHeight="1" x14ac:dyDescent="0.2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  <c r="AO333" s="62"/>
    </row>
    <row r="334" spans="1:41" ht="12.75" customHeight="1" x14ac:dyDescent="0.2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</row>
    <row r="335" spans="1:41" ht="12.75" customHeight="1" x14ac:dyDescent="0.2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</row>
    <row r="336" spans="1:41" ht="12.75" customHeight="1" x14ac:dyDescent="0.2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  <c r="AO336" s="62"/>
    </row>
    <row r="337" spans="1:41" ht="12.75" customHeight="1" x14ac:dyDescent="0.2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</row>
    <row r="338" spans="1:41" ht="12.75" customHeight="1" x14ac:dyDescent="0.2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</row>
    <row r="339" spans="1:41" ht="12.75" customHeight="1" x14ac:dyDescent="0.2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</row>
    <row r="340" spans="1:41" ht="12.75" customHeight="1" x14ac:dyDescent="0.2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</row>
    <row r="341" spans="1:41" ht="12.75" customHeight="1" x14ac:dyDescent="0.2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  <c r="AO341" s="62"/>
    </row>
    <row r="342" spans="1:41" ht="12.75" customHeight="1" x14ac:dyDescent="0.2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</row>
    <row r="343" spans="1:41" ht="12.75" customHeight="1" x14ac:dyDescent="0.2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</row>
    <row r="344" spans="1:41" ht="12.75" customHeight="1" x14ac:dyDescent="0.2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  <c r="AO344" s="62"/>
    </row>
    <row r="345" spans="1:41" ht="12.75" customHeight="1" x14ac:dyDescent="0.2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  <c r="AO345" s="62"/>
    </row>
    <row r="346" spans="1:41" ht="12.75" customHeight="1" x14ac:dyDescent="0.2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</row>
    <row r="347" spans="1:41" ht="12.75" customHeight="1" x14ac:dyDescent="0.2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</row>
    <row r="348" spans="1:41" ht="12.75" customHeight="1" x14ac:dyDescent="0.2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</row>
    <row r="349" spans="1:41" ht="12.75" customHeight="1" x14ac:dyDescent="0.2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  <c r="AO349" s="62"/>
    </row>
    <row r="350" spans="1:41" ht="12.75" customHeight="1" x14ac:dyDescent="0.2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</row>
    <row r="351" spans="1:41" ht="12.75" customHeight="1" x14ac:dyDescent="0.2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  <c r="AO351" s="62"/>
    </row>
    <row r="352" spans="1:41" ht="12.75" customHeight="1" x14ac:dyDescent="0.2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</row>
    <row r="353" spans="1:41" ht="12.75" customHeight="1" x14ac:dyDescent="0.2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/>
    </row>
    <row r="354" spans="1:41" ht="12.75" customHeight="1" x14ac:dyDescent="0.2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  <c r="AO354" s="62"/>
    </row>
    <row r="355" spans="1:41" ht="12.75" customHeight="1" x14ac:dyDescent="0.2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</row>
    <row r="356" spans="1:41" ht="12.75" customHeight="1" x14ac:dyDescent="0.2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62"/>
    </row>
    <row r="357" spans="1:41" ht="12.75" customHeight="1" x14ac:dyDescent="0.2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  <c r="AO357" s="62"/>
    </row>
    <row r="358" spans="1:41" ht="12.75" customHeight="1" x14ac:dyDescent="0.2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</row>
    <row r="359" spans="1:41" ht="12.75" customHeight="1" x14ac:dyDescent="0.2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  <c r="AO359" s="62"/>
    </row>
    <row r="360" spans="1:41" ht="12.75" customHeight="1" x14ac:dyDescent="0.2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</row>
    <row r="361" spans="1:41" ht="12.75" customHeight="1" x14ac:dyDescent="0.2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</row>
    <row r="362" spans="1:41" ht="12.75" customHeight="1" x14ac:dyDescent="0.2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</row>
    <row r="363" spans="1:41" ht="12.75" customHeight="1" x14ac:dyDescent="0.2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</row>
    <row r="364" spans="1:41" ht="12.75" customHeight="1" x14ac:dyDescent="0.2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</row>
    <row r="365" spans="1:41" ht="12.75" customHeight="1" x14ac:dyDescent="0.2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</row>
    <row r="366" spans="1:41" ht="12.75" customHeight="1" x14ac:dyDescent="0.2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</row>
    <row r="367" spans="1:41" ht="12.75" customHeight="1" x14ac:dyDescent="0.2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</row>
    <row r="368" spans="1:41" ht="12.75" customHeight="1" x14ac:dyDescent="0.2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</row>
    <row r="369" spans="1:41" ht="12.75" customHeight="1" x14ac:dyDescent="0.2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</row>
    <row r="370" spans="1:41" ht="12.75" customHeight="1" x14ac:dyDescent="0.2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</row>
    <row r="371" spans="1:41" ht="12.75" customHeight="1" x14ac:dyDescent="0.2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  <c r="AO371" s="62"/>
    </row>
    <row r="372" spans="1:41" ht="12.75" customHeight="1" x14ac:dyDescent="0.2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  <c r="AO372" s="62"/>
    </row>
    <row r="373" spans="1:41" ht="12.75" customHeight="1" x14ac:dyDescent="0.2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/>
    </row>
    <row r="374" spans="1:41" ht="12.75" customHeight="1" x14ac:dyDescent="0.2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  <c r="AO374" s="62"/>
    </row>
    <row r="375" spans="1:41" ht="12.75" customHeight="1" x14ac:dyDescent="0.2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  <c r="AO375" s="62"/>
    </row>
    <row r="376" spans="1:41" ht="12.75" customHeight="1" x14ac:dyDescent="0.2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</row>
    <row r="377" spans="1:41" ht="12.75" customHeight="1" x14ac:dyDescent="0.2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</row>
    <row r="378" spans="1:41" ht="12.75" customHeight="1" x14ac:dyDescent="0.2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</row>
    <row r="379" spans="1:41" ht="12.75" customHeight="1" x14ac:dyDescent="0.2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  <c r="AO379" s="62"/>
    </row>
    <row r="380" spans="1:41" ht="12.75" customHeight="1" x14ac:dyDescent="0.2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  <c r="AO380" s="62"/>
    </row>
    <row r="381" spans="1:41" ht="12.75" customHeight="1" x14ac:dyDescent="0.2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</row>
    <row r="382" spans="1:41" ht="12.75" customHeight="1" x14ac:dyDescent="0.2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</row>
    <row r="383" spans="1:41" ht="12.75" customHeight="1" x14ac:dyDescent="0.2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41" ht="12.75" customHeight="1" x14ac:dyDescent="0.2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  <c r="AO384" s="62"/>
    </row>
    <row r="385" spans="1:41" ht="12.75" customHeight="1" x14ac:dyDescent="0.2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  <c r="AO385" s="62"/>
    </row>
    <row r="386" spans="1:41" ht="12.75" customHeight="1" x14ac:dyDescent="0.2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  <c r="AO386" s="62"/>
    </row>
    <row r="387" spans="1:41" ht="12.75" customHeight="1" x14ac:dyDescent="0.2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  <c r="AO387" s="62"/>
    </row>
    <row r="388" spans="1:41" ht="12.75" customHeight="1" x14ac:dyDescent="0.2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</row>
    <row r="389" spans="1:41" ht="12.75" customHeight="1" x14ac:dyDescent="0.2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</row>
    <row r="390" spans="1:41" ht="12.75" customHeight="1" x14ac:dyDescent="0.2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</row>
    <row r="391" spans="1:41" ht="12.75" customHeight="1" x14ac:dyDescent="0.2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  <c r="AO391" s="62"/>
    </row>
    <row r="392" spans="1:41" ht="12.75" customHeight="1" x14ac:dyDescent="0.2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</row>
    <row r="393" spans="1:41" ht="12.75" customHeight="1" x14ac:dyDescent="0.2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  <c r="AO393" s="62"/>
    </row>
    <row r="394" spans="1:41" ht="12.75" customHeight="1" x14ac:dyDescent="0.2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  <c r="AO394" s="62"/>
    </row>
    <row r="395" spans="1:41" ht="12.75" customHeight="1" x14ac:dyDescent="0.2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  <c r="AO395" s="62"/>
    </row>
    <row r="396" spans="1:41" ht="12.75" customHeight="1" x14ac:dyDescent="0.2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  <c r="AO396" s="62"/>
    </row>
    <row r="397" spans="1:41" ht="12.75" customHeight="1" x14ac:dyDescent="0.2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  <c r="AO397" s="62"/>
    </row>
    <row r="398" spans="1:41" ht="12.75" customHeight="1" x14ac:dyDescent="0.2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  <c r="AO398" s="62"/>
    </row>
    <row r="399" spans="1:41" ht="12.75" customHeight="1" x14ac:dyDescent="0.2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</row>
    <row r="400" spans="1:41" ht="12.75" customHeight="1" x14ac:dyDescent="0.2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</row>
    <row r="401" spans="1:41" ht="12.75" customHeight="1" x14ac:dyDescent="0.2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  <c r="AO401" s="62"/>
    </row>
    <row r="402" spans="1:41" ht="12.75" customHeight="1" x14ac:dyDescent="0.2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  <c r="AO402" s="62"/>
    </row>
    <row r="403" spans="1:41" ht="12.75" customHeight="1" x14ac:dyDescent="0.2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  <c r="AO403" s="62"/>
    </row>
    <row r="404" spans="1:41" ht="12.75" customHeight="1" x14ac:dyDescent="0.2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</row>
    <row r="405" spans="1:41" ht="12.75" customHeight="1" x14ac:dyDescent="0.2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  <c r="AO405" s="62"/>
    </row>
    <row r="406" spans="1:41" ht="12.75" customHeight="1" x14ac:dyDescent="0.2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  <c r="AO406" s="62"/>
    </row>
    <row r="407" spans="1:41" ht="12.75" customHeight="1" x14ac:dyDescent="0.2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  <c r="AO407" s="62"/>
    </row>
    <row r="408" spans="1:41" ht="12.75" customHeight="1" x14ac:dyDescent="0.2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</row>
    <row r="409" spans="1:41" ht="12.75" customHeight="1" x14ac:dyDescent="0.2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  <c r="AO409" s="62"/>
    </row>
    <row r="410" spans="1:41" ht="12.75" customHeight="1" x14ac:dyDescent="0.2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  <c r="AO410" s="62"/>
    </row>
    <row r="411" spans="1:41" ht="12.75" customHeight="1" x14ac:dyDescent="0.2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  <c r="AO411" s="62"/>
    </row>
    <row r="412" spans="1:41" ht="12.75" customHeight="1" x14ac:dyDescent="0.2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  <c r="AO412" s="62"/>
    </row>
    <row r="413" spans="1:41" ht="12.75" customHeight="1" x14ac:dyDescent="0.2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</row>
    <row r="414" spans="1:41" ht="12.75" customHeight="1" x14ac:dyDescent="0.2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</row>
    <row r="415" spans="1:41" ht="12.75" customHeight="1" x14ac:dyDescent="0.2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</row>
    <row r="416" spans="1:41" ht="12.75" customHeight="1" x14ac:dyDescent="0.2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</row>
    <row r="417" spans="1:41" ht="12.75" customHeight="1" x14ac:dyDescent="0.2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</row>
    <row r="418" spans="1:41" ht="12.75" customHeight="1" x14ac:dyDescent="0.2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</row>
    <row r="419" spans="1:41" ht="12.75" customHeight="1" x14ac:dyDescent="0.2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</row>
    <row r="420" spans="1:41" ht="12.75" customHeight="1" x14ac:dyDescent="0.2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  <c r="AO420" s="62"/>
    </row>
    <row r="421" spans="1:41" ht="12.75" customHeight="1" x14ac:dyDescent="0.2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  <c r="AO421" s="62"/>
    </row>
    <row r="422" spans="1:41" ht="12.75" customHeight="1" x14ac:dyDescent="0.2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</row>
    <row r="423" spans="1:41" ht="12.75" customHeight="1" x14ac:dyDescent="0.2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  <c r="AO423" s="62"/>
    </row>
    <row r="424" spans="1:41" ht="12.75" customHeight="1" x14ac:dyDescent="0.2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  <c r="AO424" s="62"/>
    </row>
    <row r="425" spans="1:41" ht="12.75" customHeight="1" x14ac:dyDescent="0.2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  <c r="AO425" s="62"/>
    </row>
    <row r="426" spans="1:41" ht="12.75" customHeight="1" x14ac:dyDescent="0.2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  <c r="AO426" s="62"/>
    </row>
    <row r="427" spans="1:41" ht="12.75" customHeight="1" x14ac:dyDescent="0.2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  <c r="AO427" s="62"/>
    </row>
    <row r="428" spans="1:41" ht="12.75" customHeight="1" x14ac:dyDescent="0.2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  <c r="AO428" s="62"/>
    </row>
    <row r="429" spans="1:41" ht="12.75" customHeight="1" x14ac:dyDescent="0.2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  <c r="AO429" s="62"/>
    </row>
    <row r="430" spans="1:41" ht="12.75" customHeight="1" x14ac:dyDescent="0.2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  <c r="AO430" s="62"/>
    </row>
    <row r="431" spans="1:41" ht="12.75" customHeight="1" x14ac:dyDescent="0.2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  <c r="AO431" s="62"/>
    </row>
    <row r="432" spans="1:41" ht="12.75" customHeight="1" x14ac:dyDescent="0.2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  <c r="AO432" s="62"/>
    </row>
    <row r="433" spans="1:41" ht="12.75" customHeight="1" x14ac:dyDescent="0.2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  <c r="AO433" s="62"/>
    </row>
    <row r="434" spans="1:41" ht="12.75" customHeight="1" x14ac:dyDescent="0.2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  <c r="AO434" s="62"/>
    </row>
    <row r="435" spans="1:41" ht="12.75" customHeight="1" x14ac:dyDescent="0.2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  <c r="AO435" s="62"/>
    </row>
    <row r="436" spans="1:41" ht="12.75" customHeight="1" x14ac:dyDescent="0.2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  <c r="AO436" s="62"/>
    </row>
    <row r="437" spans="1:41" ht="12.75" customHeight="1" x14ac:dyDescent="0.2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  <c r="AO437" s="62"/>
    </row>
    <row r="438" spans="1:41" ht="12.75" customHeight="1" x14ac:dyDescent="0.2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  <c r="AO438" s="62"/>
    </row>
    <row r="439" spans="1:41" ht="12.75" customHeight="1" x14ac:dyDescent="0.2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  <c r="AO439" s="62"/>
    </row>
    <row r="440" spans="1:41" ht="12.75" customHeight="1" x14ac:dyDescent="0.2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  <c r="AO440" s="62"/>
    </row>
    <row r="441" spans="1:41" ht="12.75" customHeight="1" x14ac:dyDescent="0.2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  <c r="AO441" s="62"/>
    </row>
    <row r="442" spans="1:41" ht="12.75" customHeight="1" x14ac:dyDescent="0.2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  <c r="AO442" s="62"/>
    </row>
    <row r="443" spans="1:41" ht="12.75" customHeight="1" x14ac:dyDescent="0.2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  <c r="AO443" s="62"/>
    </row>
    <row r="444" spans="1:41" ht="12.75" customHeight="1" x14ac:dyDescent="0.2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  <c r="AO444" s="62"/>
    </row>
    <row r="445" spans="1:41" ht="12.75" customHeight="1" x14ac:dyDescent="0.2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  <c r="AO445" s="62"/>
    </row>
    <row r="446" spans="1:41" ht="12.75" customHeight="1" x14ac:dyDescent="0.2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  <c r="AO446" s="62"/>
    </row>
    <row r="447" spans="1:41" ht="12.75" customHeight="1" x14ac:dyDescent="0.2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  <c r="AO447" s="62"/>
    </row>
    <row r="448" spans="1:41" ht="12.75" customHeight="1" x14ac:dyDescent="0.2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  <c r="AO448" s="62"/>
    </row>
    <row r="449" spans="1:41" ht="12.75" customHeight="1" x14ac:dyDescent="0.2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  <c r="AO449" s="62"/>
    </row>
    <row r="450" spans="1:41" ht="12.75" customHeight="1" x14ac:dyDescent="0.2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  <c r="AO450" s="62"/>
    </row>
    <row r="451" spans="1:41" ht="12.75" customHeight="1" x14ac:dyDescent="0.2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  <c r="AM451" s="62"/>
      <c r="AN451" s="62"/>
      <c r="AO451" s="62"/>
    </row>
    <row r="452" spans="1:41" ht="12.75" customHeight="1" x14ac:dyDescent="0.2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  <c r="AM452" s="62"/>
      <c r="AN452" s="62"/>
      <c r="AO452" s="62"/>
    </row>
    <row r="453" spans="1:41" ht="12.75" customHeight="1" x14ac:dyDescent="0.2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  <c r="AO453" s="62"/>
    </row>
    <row r="454" spans="1:41" ht="12.75" customHeight="1" x14ac:dyDescent="0.2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  <c r="AO454" s="62"/>
    </row>
    <row r="455" spans="1:41" ht="12.75" customHeight="1" x14ac:dyDescent="0.2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  <c r="AO455" s="62"/>
    </row>
    <row r="456" spans="1:41" ht="12.75" customHeight="1" x14ac:dyDescent="0.2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  <c r="AM456" s="62"/>
      <c r="AN456" s="62"/>
      <c r="AO456" s="62"/>
    </row>
    <row r="457" spans="1:41" ht="12.75" customHeight="1" x14ac:dyDescent="0.2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  <c r="AO457" s="62"/>
    </row>
    <row r="458" spans="1:41" ht="12.75" customHeight="1" x14ac:dyDescent="0.2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  <c r="AO458" s="62"/>
    </row>
    <row r="459" spans="1:41" ht="12.75" customHeight="1" x14ac:dyDescent="0.2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  <c r="AO459" s="62"/>
    </row>
    <row r="460" spans="1:41" ht="12.75" customHeight="1" x14ac:dyDescent="0.2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  <c r="AO460" s="62"/>
    </row>
    <row r="461" spans="1:41" ht="12.75" customHeight="1" x14ac:dyDescent="0.2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  <c r="AO461" s="62"/>
    </row>
    <row r="462" spans="1:41" ht="12.75" customHeight="1" x14ac:dyDescent="0.2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  <c r="AM462" s="62"/>
      <c r="AN462" s="62"/>
      <c r="AO462" s="62"/>
    </row>
    <row r="463" spans="1:41" ht="12.75" customHeight="1" x14ac:dyDescent="0.2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  <c r="AM463" s="62"/>
      <c r="AN463" s="62"/>
      <c r="AO463" s="62"/>
    </row>
    <row r="464" spans="1:41" ht="12.75" customHeight="1" x14ac:dyDescent="0.2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  <c r="AO464" s="62"/>
    </row>
    <row r="465" spans="1:41" ht="12.75" customHeight="1" x14ac:dyDescent="0.2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  <c r="AM465" s="62"/>
      <c r="AN465" s="62"/>
      <c r="AO465" s="62"/>
    </row>
    <row r="466" spans="1:41" ht="12.75" customHeight="1" x14ac:dyDescent="0.2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</row>
    <row r="467" spans="1:41" ht="12.75" customHeight="1" x14ac:dyDescent="0.2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</row>
    <row r="468" spans="1:41" ht="12.75" customHeight="1" x14ac:dyDescent="0.2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</row>
    <row r="469" spans="1:41" ht="12.75" customHeight="1" x14ac:dyDescent="0.2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  <c r="AO469" s="62"/>
    </row>
    <row r="470" spans="1:41" ht="12.75" customHeight="1" x14ac:dyDescent="0.2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  <c r="AO470" s="62"/>
    </row>
    <row r="471" spans="1:41" ht="12.75" customHeight="1" x14ac:dyDescent="0.2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  <c r="AM471" s="62"/>
      <c r="AN471" s="62"/>
      <c r="AO471" s="62"/>
    </row>
    <row r="472" spans="1:41" ht="12.75" customHeight="1" x14ac:dyDescent="0.2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  <c r="AM472" s="62"/>
      <c r="AN472" s="62"/>
      <c r="AO472" s="62"/>
    </row>
    <row r="473" spans="1:41" ht="12.75" customHeight="1" x14ac:dyDescent="0.2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  <c r="AO473" s="62"/>
    </row>
    <row r="474" spans="1:41" ht="12.75" customHeight="1" x14ac:dyDescent="0.2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  <c r="AM474" s="62"/>
      <c r="AN474" s="62"/>
      <c r="AO474" s="62"/>
    </row>
    <row r="475" spans="1:41" ht="12.75" customHeight="1" x14ac:dyDescent="0.2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  <c r="AM475" s="62"/>
      <c r="AN475" s="62"/>
      <c r="AO475" s="62"/>
    </row>
    <row r="476" spans="1:41" ht="12.75" customHeight="1" x14ac:dyDescent="0.2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</row>
    <row r="477" spans="1:41" ht="12.75" customHeight="1" x14ac:dyDescent="0.2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</row>
    <row r="478" spans="1:41" ht="12.75" customHeight="1" x14ac:dyDescent="0.2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</row>
    <row r="479" spans="1:41" ht="12.75" customHeight="1" x14ac:dyDescent="0.2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</row>
    <row r="480" spans="1:41" ht="12.75" customHeight="1" x14ac:dyDescent="0.2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</row>
    <row r="481" spans="1:41" ht="12.75" customHeight="1" x14ac:dyDescent="0.2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</row>
    <row r="482" spans="1:41" ht="12.75" customHeight="1" x14ac:dyDescent="0.2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</row>
    <row r="483" spans="1:41" ht="12.75" customHeight="1" x14ac:dyDescent="0.2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</row>
    <row r="484" spans="1:41" ht="12.75" customHeight="1" x14ac:dyDescent="0.2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</row>
    <row r="485" spans="1:41" ht="12.75" customHeight="1" x14ac:dyDescent="0.2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</row>
    <row r="486" spans="1:41" ht="12.75" customHeight="1" x14ac:dyDescent="0.2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</row>
    <row r="487" spans="1:41" ht="12.75" customHeight="1" x14ac:dyDescent="0.2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</row>
    <row r="488" spans="1:41" ht="12.75" customHeight="1" x14ac:dyDescent="0.2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</row>
    <row r="489" spans="1:41" ht="12.75" customHeight="1" x14ac:dyDescent="0.2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</row>
    <row r="490" spans="1:41" ht="12.75" customHeight="1" x14ac:dyDescent="0.2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  <c r="AM490" s="62"/>
      <c r="AN490" s="62"/>
      <c r="AO490" s="62"/>
    </row>
    <row r="491" spans="1:41" ht="12.75" customHeight="1" x14ac:dyDescent="0.2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  <c r="AM491" s="62"/>
      <c r="AN491" s="62"/>
      <c r="AO491" s="62"/>
    </row>
    <row r="492" spans="1:41" ht="12.75" customHeight="1" x14ac:dyDescent="0.2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  <c r="AO492" s="62"/>
    </row>
    <row r="493" spans="1:41" ht="12.75" customHeight="1" x14ac:dyDescent="0.2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  <c r="AM493" s="62"/>
      <c r="AN493" s="62"/>
      <c r="AO493" s="62"/>
    </row>
    <row r="494" spans="1:41" ht="12.75" customHeight="1" x14ac:dyDescent="0.2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  <c r="AO494" s="62"/>
    </row>
    <row r="495" spans="1:41" ht="12.75" customHeight="1" x14ac:dyDescent="0.2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  <c r="AM495" s="62"/>
      <c r="AN495" s="62"/>
      <c r="AO495" s="62"/>
    </row>
    <row r="496" spans="1:41" ht="12.75" customHeight="1" x14ac:dyDescent="0.2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</row>
    <row r="497" spans="1:41" ht="12.75" customHeight="1" x14ac:dyDescent="0.2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</row>
    <row r="498" spans="1:41" ht="12.75" customHeight="1" x14ac:dyDescent="0.2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</row>
    <row r="499" spans="1:41" ht="12.75" customHeight="1" x14ac:dyDescent="0.2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</row>
    <row r="500" spans="1:41" ht="12.75" customHeight="1" x14ac:dyDescent="0.2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</row>
    <row r="501" spans="1:41" ht="12.75" customHeight="1" x14ac:dyDescent="0.2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</row>
    <row r="502" spans="1:41" ht="12.75" customHeight="1" x14ac:dyDescent="0.2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</row>
    <row r="503" spans="1:41" ht="12.75" customHeight="1" x14ac:dyDescent="0.2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</row>
    <row r="504" spans="1:41" ht="12.75" customHeight="1" x14ac:dyDescent="0.2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</row>
    <row r="505" spans="1:41" ht="12.75" customHeight="1" x14ac:dyDescent="0.2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</row>
    <row r="506" spans="1:41" ht="12.75" customHeight="1" x14ac:dyDescent="0.2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</row>
    <row r="507" spans="1:41" ht="12.75" customHeight="1" x14ac:dyDescent="0.2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</row>
    <row r="508" spans="1:41" ht="12.75" customHeight="1" x14ac:dyDescent="0.2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</row>
    <row r="509" spans="1:41" ht="12.75" customHeight="1" x14ac:dyDescent="0.2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</row>
    <row r="510" spans="1:41" ht="12.75" customHeight="1" x14ac:dyDescent="0.2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</row>
    <row r="511" spans="1:41" ht="12.75" customHeight="1" x14ac:dyDescent="0.2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</row>
    <row r="512" spans="1:41" ht="12.75" customHeight="1" x14ac:dyDescent="0.2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</row>
    <row r="513" spans="1:41" ht="12.75" customHeight="1" x14ac:dyDescent="0.2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</row>
    <row r="514" spans="1:41" ht="12.75" customHeight="1" x14ac:dyDescent="0.2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</row>
    <row r="515" spans="1:41" ht="12.75" customHeight="1" x14ac:dyDescent="0.2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</row>
    <row r="516" spans="1:41" ht="12.75" customHeight="1" x14ac:dyDescent="0.2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</row>
    <row r="517" spans="1:41" ht="12.75" customHeight="1" x14ac:dyDescent="0.2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</row>
    <row r="518" spans="1:41" ht="12.75" customHeight="1" x14ac:dyDescent="0.2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</row>
    <row r="519" spans="1:41" ht="12.75" customHeight="1" x14ac:dyDescent="0.2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</row>
    <row r="520" spans="1:41" ht="12.75" customHeight="1" x14ac:dyDescent="0.2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</row>
    <row r="521" spans="1:41" ht="12.75" customHeight="1" x14ac:dyDescent="0.2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</row>
    <row r="522" spans="1:41" ht="12.75" customHeight="1" x14ac:dyDescent="0.2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</row>
    <row r="523" spans="1:41" ht="12.75" customHeight="1" x14ac:dyDescent="0.2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</row>
    <row r="524" spans="1:41" ht="12.75" customHeight="1" x14ac:dyDescent="0.2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</row>
    <row r="525" spans="1:41" ht="12.75" customHeight="1" x14ac:dyDescent="0.2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</row>
    <row r="526" spans="1:41" ht="12.75" customHeight="1" x14ac:dyDescent="0.2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</row>
    <row r="527" spans="1:41" ht="12.75" customHeight="1" x14ac:dyDescent="0.2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</row>
    <row r="528" spans="1:41" ht="12.75" customHeight="1" x14ac:dyDescent="0.2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</row>
    <row r="529" spans="1:41" ht="12.75" customHeight="1" x14ac:dyDescent="0.2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</row>
    <row r="530" spans="1:41" ht="12.75" customHeight="1" x14ac:dyDescent="0.2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</row>
    <row r="531" spans="1:41" ht="12.75" customHeight="1" x14ac:dyDescent="0.2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</row>
    <row r="532" spans="1:41" ht="12.75" customHeight="1" x14ac:dyDescent="0.2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</row>
    <row r="533" spans="1:41" ht="12.75" customHeight="1" x14ac:dyDescent="0.2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</row>
    <row r="534" spans="1:41" ht="12.75" customHeight="1" x14ac:dyDescent="0.2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</row>
    <row r="535" spans="1:41" ht="12.75" customHeight="1" x14ac:dyDescent="0.2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</row>
    <row r="536" spans="1:41" ht="12.75" customHeight="1" x14ac:dyDescent="0.2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</row>
    <row r="537" spans="1:41" ht="12.75" customHeight="1" x14ac:dyDescent="0.2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</row>
    <row r="538" spans="1:41" ht="12.75" customHeight="1" x14ac:dyDescent="0.2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</row>
    <row r="539" spans="1:41" ht="12.75" customHeight="1" x14ac:dyDescent="0.2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</row>
    <row r="540" spans="1:41" ht="12.75" customHeight="1" x14ac:dyDescent="0.2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</row>
    <row r="541" spans="1:41" ht="12.75" customHeight="1" x14ac:dyDescent="0.2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</row>
    <row r="542" spans="1:41" ht="12.75" customHeight="1" x14ac:dyDescent="0.2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</row>
    <row r="543" spans="1:41" ht="12.75" customHeight="1" x14ac:dyDescent="0.2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</row>
    <row r="544" spans="1:41" ht="12.75" customHeight="1" x14ac:dyDescent="0.2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</row>
    <row r="545" spans="1:41" ht="12.75" customHeight="1" x14ac:dyDescent="0.2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</row>
    <row r="546" spans="1:41" ht="12.75" customHeight="1" x14ac:dyDescent="0.2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</row>
    <row r="547" spans="1:41" ht="12.75" customHeight="1" x14ac:dyDescent="0.2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</row>
    <row r="548" spans="1:41" ht="12.75" customHeight="1" x14ac:dyDescent="0.2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</row>
    <row r="549" spans="1:41" ht="12.75" customHeight="1" x14ac:dyDescent="0.2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</row>
    <row r="550" spans="1:41" ht="12.75" customHeight="1" x14ac:dyDescent="0.2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</row>
    <row r="551" spans="1:41" ht="12.75" customHeight="1" x14ac:dyDescent="0.2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</row>
    <row r="552" spans="1:41" ht="12.75" customHeight="1" x14ac:dyDescent="0.2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</row>
    <row r="553" spans="1:41" ht="12.75" customHeight="1" x14ac:dyDescent="0.2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</row>
    <row r="554" spans="1:41" ht="12.75" customHeight="1" x14ac:dyDescent="0.2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</row>
    <row r="555" spans="1:41" ht="12.75" customHeight="1" x14ac:dyDescent="0.2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</row>
    <row r="556" spans="1:41" ht="12.75" customHeight="1" x14ac:dyDescent="0.2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</row>
    <row r="557" spans="1:41" ht="12.75" customHeight="1" x14ac:dyDescent="0.2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</row>
    <row r="558" spans="1:41" ht="12.75" customHeight="1" x14ac:dyDescent="0.2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</row>
    <row r="559" spans="1:41" ht="12.75" customHeight="1" x14ac:dyDescent="0.2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</row>
    <row r="560" spans="1:41" ht="12.75" customHeight="1" x14ac:dyDescent="0.2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</row>
    <row r="561" spans="1:41" ht="12.75" customHeight="1" x14ac:dyDescent="0.2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</row>
    <row r="562" spans="1:41" ht="12.75" customHeight="1" x14ac:dyDescent="0.2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</row>
    <row r="563" spans="1:41" ht="12.75" customHeight="1" x14ac:dyDescent="0.2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</row>
    <row r="564" spans="1:41" ht="12.75" customHeight="1" x14ac:dyDescent="0.2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</row>
    <row r="565" spans="1:41" ht="12.75" customHeight="1" x14ac:dyDescent="0.2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</row>
    <row r="566" spans="1:41" ht="12.75" customHeight="1" x14ac:dyDescent="0.2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</row>
    <row r="567" spans="1:41" ht="12.75" customHeight="1" x14ac:dyDescent="0.2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</row>
    <row r="568" spans="1:41" ht="12.75" customHeight="1" x14ac:dyDescent="0.2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</row>
    <row r="569" spans="1:41" ht="12.75" customHeight="1" x14ac:dyDescent="0.2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</row>
    <row r="570" spans="1:41" ht="12.75" customHeight="1" x14ac:dyDescent="0.2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</row>
    <row r="571" spans="1:41" ht="12.75" customHeight="1" x14ac:dyDescent="0.2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</row>
    <row r="572" spans="1:41" ht="12.75" customHeight="1" x14ac:dyDescent="0.2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</row>
    <row r="573" spans="1:41" ht="12.75" customHeight="1" x14ac:dyDescent="0.2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</row>
    <row r="574" spans="1:41" ht="12.75" customHeight="1" x14ac:dyDescent="0.2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</row>
    <row r="575" spans="1:41" ht="12.75" customHeight="1" x14ac:dyDescent="0.2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</row>
    <row r="576" spans="1:41" ht="12.75" customHeight="1" x14ac:dyDescent="0.2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</row>
    <row r="577" spans="1:41" ht="12.75" customHeight="1" x14ac:dyDescent="0.2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</row>
    <row r="578" spans="1:41" ht="12.75" customHeight="1" x14ac:dyDescent="0.2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</row>
    <row r="579" spans="1:41" ht="12.75" customHeight="1" x14ac:dyDescent="0.2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</row>
    <row r="580" spans="1:41" ht="12.75" customHeight="1" x14ac:dyDescent="0.2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</row>
    <row r="581" spans="1:41" ht="12.75" customHeight="1" x14ac:dyDescent="0.2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</row>
    <row r="582" spans="1:41" ht="12.75" customHeight="1" x14ac:dyDescent="0.2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</row>
    <row r="583" spans="1:41" ht="12.75" customHeight="1" x14ac:dyDescent="0.2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</row>
    <row r="584" spans="1:41" ht="12.75" customHeight="1" x14ac:dyDescent="0.2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</row>
    <row r="585" spans="1:41" ht="12.75" customHeight="1" x14ac:dyDescent="0.2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</row>
    <row r="586" spans="1:41" ht="12.75" customHeight="1" x14ac:dyDescent="0.2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</row>
    <row r="587" spans="1:41" ht="12.75" customHeight="1" x14ac:dyDescent="0.2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</row>
    <row r="588" spans="1:41" ht="12.75" customHeight="1" x14ac:dyDescent="0.2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</row>
    <row r="589" spans="1:41" ht="12.75" customHeight="1" x14ac:dyDescent="0.2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</row>
    <row r="590" spans="1:41" ht="12.75" customHeight="1" x14ac:dyDescent="0.2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</row>
    <row r="591" spans="1:41" ht="12.75" customHeight="1" x14ac:dyDescent="0.2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</row>
    <row r="592" spans="1:41" ht="12.75" customHeight="1" x14ac:dyDescent="0.2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</row>
    <row r="593" spans="1:41" ht="12.75" customHeight="1" x14ac:dyDescent="0.2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</row>
    <row r="594" spans="1:41" ht="12.75" customHeight="1" x14ac:dyDescent="0.2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</row>
    <row r="595" spans="1:41" ht="12.75" customHeight="1" x14ac:dyDescent="0.2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</row>
    <row r="596" spans="1:41" ht="12.75" customHeight="1" x14ac:dyDescent="0.2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</row>
    <row r="597" spans="1:41" ht="12.75" customHeight="1" x14ac:dyDescent="0.2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</row>
    <row r="598" spans="1:41" ht="12.75" customHeight="1" x14ac:dyDescent="0.2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</row>
    <row r="599" spans="1:41" ht="12.75" customHeight="1" x14ac:dyDescent="0.2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</row>
    <row r="600" spans="1:41" ht="12.75" customHeight="1" x14ac:dyDescent="0.2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</row>
    <row r="601" spans="1:41" ht="12.75" customHeight="1" x14ac:dyDescent="0.2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</row>
    <row r="602" spans="1:41" ht="12.75" customHeight="1" x14ac:dyDescent="0.2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</row>
    <row r="603" spans="1:41" ht="12.75" customHeight="1" x14ac:dyDescent="0.2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</row>
    <row r="604" spans="1:41" ht="12.75" customHeight="1" x14ac:dyDescent="0.2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</row>
    <row r="605" spans="1:41" ht="12.75" customHeight="1" x14ac:dyDescent="0.2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</row>
    <row r="606" spans="1:41" ht="12.75" customHeight="1" x14ac:dyDescent="0.2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</row>
    <row r="607" spans="1:41" ht="12.75" customHeight="1" x14ac:dyDescent="0.2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</row>
    <row r="608" spans="1:41" ht="12.75" customHeight="1" x14ac:dyDescent="0.2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</row>
    <row r="609" spans="1:41" ht="12.75" customHeight="1" x14ac:dyDescent="0.2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</row>
    <row r="610" spans="1:41" ht="12.75" customHeight="1" x14ac:dyDescent="0.2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</row>
    <row r="611" spans="1:41" ht="12.75" customHeight="1" x14ac:dyDescent="0.2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</row>
    <row r="612" spans="1:41" ht="12.75" customHeight="1" x14ac:dyDescent="0.2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41" ht="12.75" customHeight="1" x14ac:dyDescent="0.2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</row>
    <row r="614" spans="1:41" ht="12.75" customHeight="1" x14ac:dyDescent="0.2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</row>
    <row r="615" spans="1:41" ht="12.75" customHeight="1" x14ac:dyDescent="0.2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</row>
    <row r="616" spans="1:41" ht="12.75" customHeight="1" x14ac:dyDescent="0.2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</row>
    <row r="617" spans="1:41" ht="12.75" customHeight="1" x14ac:dyDescent="0.2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</row>
    <row r="618" spans="1:41" ht="12.75" customHeight="1" x14ac:dyDescent="0.2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</row>
    <row r="619" spans="1:41" ht="12.75" customHeight="1" x14ac:dyDescent="0.2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</row>
    <row r="620" spans="1:41" ht="12.75" customHeight="1" x14ac:dyDescent="0.2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</row>
    <row r="621" spans="1:41" ht="12.75" customHeight="1" x14ac:dyDescent="0.2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</row>
    <row r="622" spans="1:41" ht="12.75" customHeight="1" x14ac:dyDescent="0.2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</row>
    <row r="623" spans="1:41" ht="12.75" customHeight="1" x14ac:dyDescent="0.2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</row>
    <row r="624" spans="1:41" ht="12.75" customHeight="1" x14ac:dyDescent="0.2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</row>
    <row r="625" spans="1:41" ht="12.75" customHeight="1" x14ac:dyDescent="0.2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</row>
    <row r="626" spans="1:41" ht="12.75" customHeight="1" x14ac:dyDescent="0.2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</row>
    <row r="627" spans="1:41" ht="12.75" customHeight="1" x14ac:dyDescent="0.2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</row>
    <row r="628" spans="1:41" ht="12.75" customHeight="1" x14ac:dyDescent="0.2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</row>
    <row r="629" spans="1:41" ht="12.75" customHeight="1" x14ac:dyDescent="0.2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</row>
    <row r="630" spans="1:41" ht="12.75" customHeight="1" x14ac:dyDescent="0.2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</row>
    <row r="631" spans="1:41" ht="12.75" customHeight="1" x14ac:dyDescent="0.2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</row>
    <row r="632" spans="1:41" ht="12.75" customHeight="1" x14ac:dyDescent="0.2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</row>
    <row r="633" spans="1:41" ht="12.75" customHeight="1" x14ac:dyDescent="0.2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</row>
    <row r="634" spans="1:41" ht="12.75" customHeight="1" x14ac:dyDescent="0.2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</row>
    <row r="635" spans="1:41" ht="12.75" customHeight="1" x14ac:dyDescent="0.2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</row>
    <row r="636" spans="1:41" ht="12.75" customHeight="1" x14ac:dyDescent="0.2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</row>
    <row r="637" spans="1:41" ht="12.75" customHeight="1" x14ac:dyDescent="0.2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</row>
    <row r="638" spans="1:41" ht="12.75" customHeight="1" x14ac:dyDescent="0.2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</row>
    <row r="639" spans="1:41" ht="12.75" customHeight="1" x14ac:dyDescent="0.2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</row>
    <row r="640" spans="1:41" ht="12.75" customHeight="1" x14ac:dyDescent="0.2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</row>
    <row r="641" spans="1:41" ht="12.75" customHeight="1" x14ac:dyDescent="0.2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</row>
    <row r="642" spans="1:41" ht="12.75" customHeight="1" x14ac:dyDescent="0.2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</row>
    <row r="643" spans="1:41" ht="12.75" customHeight="1" x14ac:dyDescent="0.2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</row>
    <row r="644" spans="1:41" ht="12.75" customHeight="1" x14ac:dyDescent="0.2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</row>
    <row r="645" spans="1:41" ht="12.75" customHeight="1" x14ac:dyDescent="0.2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</row>
    <row r="646" spans="1:41" ht="12.75" customHeight="1" x14ac:dyDescent="0.2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</row>
    <row r="647" spans="1:41" ht="12.75" customHeight="1" x14ac:dyDescent="0.2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</row>
    <row r="648" spans="1:41" ht="12.75" customHeight="1" x14ac:dyDescent="0.2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</row>
    <row r="649" spans="1:41" ht="12.75" customHeight="1" x14ac:dyDescent="0.2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</row>
    <row r="650" spans="1:41" ht="12.75" customHeight="1" x14ac:dyDescent="0.2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</row>
    <row r="651" spans="1:41" ht="12.75" customHeight="1" x14ac:dyDescent="0.2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</row>
    <row r="652" spans="1:41" ht="12.75" customHeight="1" x14ac:dyDescent="0.2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</row>
    <row r="653" spans="1:41" ht="12.75" customHeight="1" x14ac:dyDescent="0.2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</row>
    <row r="654" spans="1:41" ht="12.75" customHeight="1" x14ac:dyDescent="0.2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</row>
    <row r="655" spans="1:41" ht="12.75" customHeight="1" x14ac:dyDescent="0.2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</row>
    <row r="656" spans="1:41" ht="12.75" customHeight="1" x14ac:dyDescent="0.2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</row>
    <row r="657" spans="1:41" ht="12.75" customHeight="1" x14ac:dyDescent="0.2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</row>
    <row r="658" spans="1:41" ht="12.75" customHeight="1" x14ac:dyDescent="0.2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62"/>
      <c r="AH658" s="62"/>
      <c r="AI658" s="62"/>
      <c r="AJ658" s="62"/>
      <c r="AK658" s="62"/>
      <c r="AL658" s="62"/>
      <c r="AM658" s="62"/>
      <c r="AN658" s="62"/>
      <c r="AO658" s="62"/>
    </row>
    <row r="659" spans="1:41" ht="12.75" customHeight="1" x14ac:dyDescent="0.2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62"/>
      <c r="AH659" s="62"/>
      <c r="AI659" s="62"/>
      <c r="AJ659" s="62"/>
      <c r="AK659" s="62"/>
      <c r="AL659" s="62"/>
      <c r="AM659" s="62"/>
      <c r="AN659" s="62"/>
      <c r="AO659" s="62"/>
    </row>
    <row r="660" spans="1:41" ht="12.75" customHeight="1" x14ac:dyDescent="0.2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62"/>
      <c r="AH660" s="62"/>
      <c r="AI660" s="62"/>
      <c r="AJ660" s="62"/>
      <c r="AK660" s="62"/>
      <c r="AL660" s="62"/>
      <c r="AM660" s="62"/>
      <c r="AN660" s="62"/>
      <c r="AO660" s="62"/>
    </row>
    <row r="661" spans="1:41" ht="12.75" customHeight="1" x14ac:dyDescent="0.2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62"/>
      <c r="AH661" s="62"/>
      <c r="AI661" s="62"/>
      <c r="AJ661" s="62"/>
      <c r="AK661" s="62"/>
      <c r="AL661" s="62"/>
      <c r="AM661" s="62"/>
      <c r="AN661" s="62"/>
      <c r="AO661" s="62"/>
    </row>
    <row r="662" spans="1:41" ht="12.75" customHeight="1" x14ac:dyDescent="0.2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62"/>
      <c r="AH662" s="62"/>
      <c r="AI662" s="62"/>
      <c r="AJ662" s="62"/>
      <c r="AK662" s="62"/>
      <c r="AL662" s="62"/>
      <c r="AM662" s="62"/>
      <c r="AN662" s="62"/>
      <c r="AO662" s="62"/>
    </row>
    <row r="663" spans="1:41" ht="12.75" customHeight="1" x14ac:dyDescent="0.2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62"/>
      <c r="AH663" s="62"/>
      <c r="AI663" s="62"/>
      <c r="AJ663" s="62"/>
      <c r="AK663" s="62"/>
      <c r="AL663" s="62"/>
      <c r="AM663" s="62"/>
      <c r="AN663" s="62"/>
      <c r="AO663" s="62"/>
    </row>
    <row r="664" spans="1:41" ht="12.75" customHeight="1" x14ac:dyDescent="0.2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62"/>
      <c r="AH664" s="62"/>
      <c r="AI664" s="62"/>
      <c r="AJ664" s="62"/>
      <c r="AK664" s="62"/>
      <c r="AL664" s="62"/>
      <c r="AM664" s="62"/>
      <c r="AN664" s="62"/>
      <c r="AO664" s="62"/>
    </row>
    <row r="665" spans="1:41" ht="12.75" customHeight="1" x14ac:dyDescent="0.2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  <c r="AM665" s="62"/>
      <c r="AN665" s="62"/>
      <c r="AO665" s="62"/>
    </row>
    <row r="666" spans="1:41" ht="12.75" customHeight="1" x14ac:dyDescent="0.2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  <c r="AM666" s="62"/>
      <c r="AN666" s="62"/>
      <c r="AO666" s="62"/>
    </row>
    <row r="667" spans="1:41" ht="12.75" customHeight="1" x14ac:dyDescent="0.2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62"/>
      <c r="AH667" s="62"/>
      <c r="AI667" s="62"/>
      <c r="AJ667" s="62"/>
      <c r="AK667" s="62"/>
      <c r="AL667" s="62"/>
      <c r="AM667" s="62"/>
      <c r="AN667" s="62"/>
      <c r="AO667" s="62"/>
    </row>
    <row r="668" spans="1:41" ht="12.75" customHeight="1" x14ac:dyDescent="0.2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  <c r="AM668" s="62"/>
      <c r="AN668" s="62"/>
      <c r="AO668" s="62"/>
    </row>
    <row r="669" spans="1:41" ht="12.75" customHeight="1" x14ac:dyDescent="0.2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  <c r="AM669" s="62"/>
      <c r="AN669" s="62"/>
      <c r="AO669" s="62"/>
    </row>
    <row r="670" spans="1:41" ht="12.75" customHeight="1" x14ac:dyDescent="0.2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  <c r="AM670" s="62"/>
      <c r="AN670" s="62"/>
      <c r="AO670" s="62"/>
    </row>
    <row r="671" spans="1:41" ht="12.75" customHeight="1" x14ac:dyDescent="0.2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62"/>
      <c r="AH671" s="62"/>
      <c r="AI671" s="62"/>
      <c r="AJ671" s="62"/>
      <c r="AK671" s="62"/>
      <c r="AL671" s="62"/>
      <c r="AM671" s="62"/>
      <c r="AN671" s="62"/>
      <c r="AO671" s="62"/>
    </row>
    <row r="672" spans="1:41" ht="12.75" customHeight="1" x14ac:dyDescent="0.2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  <c r="AM672" s="62"/>
      <c r="AN672" s="62"/>
      <c r="AO672" s="62"/>
    </row>
    <row r="673" spans="1:41" ht="12.75" customHeight="1" x14ac:dyDescent="0.2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  <c r="AO673" s="62"/>
    </row>
    <row r="674" spans="1:41" ht="12.75" customHeight="1" x14ac:dyDescent="0.2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62"/>
      <c r="AH674" s="62"/>
      <c r="AI674" s="62"/>
      <c r="AJ674" s="62"/>
      <c r="AK674" s="62"/>
      <c r="AL674" s="62"/>
      <c r="AM674" s="62"/>
      <c r="AN674" s="62"/>
      <c r="AO674" s="62"/>
    </row>
    <row r="675" spans="1:41" ht="12.75" customHeight="1" x14ac:dyDescent="0.2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  <c r="AM675" s="62"/>
      <c r="AN675" s="62"/>
      <c r="AO675" s="62"/>
    </row>
    <row r="676" spans="1:41" ht="12.75" customHeight="1" x14ac:dyDescent="0.2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  <c r="AM676" s="62"/>
      <c r="AN676" s="62"/>
      <c r="AO676" s="62"/>
    </row>
    <row r="677" spans="1:41" ht="12.75" customHeight="1" x14ac:dyDescent="0.2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  <c r="AM677" s="62"/>
      <c r="AN677" s="62"/>
      <c r="AO677" s="62"/>
    </row>
    <row r="678" spans="1:41" ht="12.75" customHeight="1" x14ac:dyDescent="0.2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62"/>
      <c r="AH678" s="62"/>
      <c r="AI678" s="62"/>
      <c r="AJ678" s="62"/>
      <c r="AK678" s="62"/>
      <c r="AL678" s="62"/>
      <c r="AM678" s="62"/>
      <c r="AN678" s="62"/>
      <c r="AO678" s="62"/>
    </row>
    <row r="679" spans="1:41" ht="12.75" customHeight="1" x14ac:dyDescent="0.2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  <c r="AM679" s="62"/>
      <c r="AN679" s="62"/>
      <c r="AO679" s="62"/>
    </row>
    <row r="680" spans="1:41" ht="12.75" customHeight="1" x14ac:dyDescent="0.2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62"/>
      <c r="AH680" s="62"/>
      <c r="AI680" s="62"/>
      <c r="AJ680" s="62"/>
      <c r="AK680" s="62"/>
      <c r="AL680" s="62"/>
      <c r="AM680" s="62"/>
      <c r="AN680" s="62"/>
      <c r="AO680" s="62"/>
    </row>
    <row r="681" spans="1:41" ht="12.75" customHeight="1" x14ac:dyDescent="0.2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  <c r="AM681" s="62"/>
      <c r="AN681" s="62"/>
      <c r="AO681" s="62"/>
    </row>
    <row r="682" spans="1:41" ht="12.75" customHeight="1" x14ac:dyDescent="0.2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  <c r="AM682" s="62"/>
      <c r="AN682" s="62"/>
      <c r="AO682" s="62"/>
    </row>
    <row r="683" spans="1:41" ht="12.75" customHeight="1" x14ac:dyDescent="0.2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  <c r="AM683" s="62"/>
      <c r="AN683" s="62"/>
      <c r="AO683" s="62"/>
    </row>
    <row r="684" spans="1:41" ht="12.75" customHeight="1" x14ac:dyDescent="0.2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62"/>
      <c r="AH684" s="62"/>
      <c r="AI684" s="62"/>
      <c r="AJ684" s="62"/>
      <c r="AK684" s="62"/>
      <c r="AL684" s="62"/>
      <c r="AM684" s="62"/>
      <c r="AN684" s="62"/>
      <c r="AO684" s="62"/>
    </row>
    <row r="685" spans="1:41" ht="12.75" customHeight="1" x14ac:dyDescent="0.2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  <c r="AM685" s="62"/>
      <c r="AN685" s="62"/>
      <c r="AO685" s="62"/>
    </row>
    <row r="686" spans="1:41" ht="12.75" customHeight="1" x14ac:dyDescent="0.2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  <c r="AM686" s="62"/>
      <c r="AN686" s="62"/>
      <c r="AO686" s="62"/>
    </row>
    <row r="687" spans="1:41" ht="12.75" customHeight="1" x14ac:dyDescent="0.2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2"/>
      <c r="AJ687" s="62"/>
      <c r="AK687" s="62"/>
      <c r="AL687" s="62"/>
      <c r="AM687" s="62"/>
      <c r="AN687" s="62"/>
      <c r="AO687" s="62"/>
    </row>
    <row r="688" spans="1:41" ht="12.75" customHeight="1" x14ac:dyDescent="0.2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  <c r="AO688" s="62"/>
    </row>
    <row r="689" spans="1:41" ht="12.75" customHeight="1" x14ac:dyDescent="0.2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  <c r="AM689" s="62"/>
      <c r="AN689" s="62"/>
      <c r="AO689" s="62"/>
    </row>
    <row r="690" spans="1:41" ht="12.75" customHeight="1" x14ac:dyDescent="0.2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  <c r="AO690" s="62"/>
    </row>
    <row r="691" spans="1:41" ht="12.75" customHeight="1" x14ac:dyDescent="0.2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  <c r="AM691" s="62"/>
      <c r="AN691" s="62"/>
      <c r="AO691" s="62"/>
    </row>
    <row r="692" spans="1:41" ht="12.75" customHeight="1" x14ac:dyDescent="0.2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  <c r="AM692" s="62"/>
      <c r="AN692" s="62"/>
      <c r="AO692" s="62"/>
    </row>
    <row r="693" spans="1:41" ht="12.75" customHeight="1" x14ac:dyDescent="0.2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  <c r="AM693" s="62"/>
      <c r="AN693" s="62"/>
      <c r="AO693" s="62"/>
    </row>
    <row r="694" spans="1:41" ht="12.75" customHeight="1" x14ac:dyDescent="0.2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  <c r="AO694" s="62"/>
    </row>
    <row r="695" spans="1:41" ht="12.75" customHeight="1" x14ac:dyDescent="0.2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  <c r="AO695" s="62"/>
    </row>
    <row r="696" spans="1:41" ht="12.75" customHeight="1" x14ac:dyDescent="0.2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  <c r="AM696" s="62"/>
      <c r="AN696" s="62"/>
      <c r="AO696" s="62"/>
    </row>
    <row r="697" spans="1:41" ht="12.75" customHeight="1" x14ac:dyDescent="0.2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  <c r="AM697" s="62"/>
      <c r="AN697" s="62"/>
      <c r="AO697" s="62"/>
    </row>
    <row r="698" spans="1:41" ht="12.75" customHeight="1" x14ac:dyDescent="0.2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  <c r="AM698" s="62"/>
      <c r="AN698" s="62"/>
      <c r="AO698" s="62"/>
    </row>
    <row r="699" spans="1:41" ht="12.75" customHeight="1" x14ac:dyDescent="0.2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  <c r="AM699" s="62"/>
      <c r="AN699" s="62"/>
      <c r="AO699" s="62"/>
    </row>
    <row r="700" spans="1:41" ht="12.75" customHeight="1" x14ac:dyDescent="0.2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  <c r="AM700" s="62"/>
      <c r="AN700" s="62"/>
      <c r="AO700" s="62"/>
    </row>
    <row r="701" spans="1:41" ht="12.75" customHeight="1" x14ac:dyDescent="0.2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  <c r="AO701" s="62"/>
    </row>
    <row r="702" spans="1:41" ht="12.75" customHeight="1" x14ac:dyDescent="0.2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  <c r="AO702" s="62"/>
    </row>
    <row r="703" spans="1:41" ht="12.75" customHeight="1" x14ac:dyDescent="0.2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  <c r="AM703" s="62"/>
      <c r="AN703" s="62"/>
      <c r="AO703" s="62"/>
    </row>
    <row r="704" spans="1:41" ht="12.75" customHeight="1" x14ac:dyDescent="0.2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  <c r="AM704" s="62"/>
      <c r="AN704" s="62"/>
      <c r="AO704" s="62"/>
    </row>
    <row r="705" spans="1:41" ht="12.75" customHeight="1" x14ac:dyDescent="0.2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  <c r="AM705" s="62"/>
      <c r="AN705" s="62"/>
      <c r="AO705" s="62"/>
    </row>
    <row r="706" spans="1:41" ht="12.75" customHeight="1" x14ac:dyDescent="0.2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  <c r="AM706" s="62"/>
      <c r="AN706" s="62"/>
      <c r="AO706" s="62"/>
    </row>
    <row r="707" spans="1:41" ht="12.75" customHeight="1" x14ac:dyDescent="0.2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  <c r="AM707" s="62"/>
      <c r="AN707" s="62"/>
      <c r="AO707" s="62"/>
    </row>
    <row r="708" spans="1:41" ht="12.75" customHeight="1" x14ac:dyDescent="0.2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  <c r="AM708" s="62"/>
      <c r="AN708" s="62"/>
      <c r="AO708" s="62"/>
    </row>
    <row r="709" spans="1:41" ht="12.75" customHeight="1" x14ac:dyDescent="0.2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  <c r="AM709" s="62"/>
      <c r="AN709" s="62"/>
      <c r="AO709" s="62"/>
    </row>
    <row r="710" spans="1:41" ht="12.75" customHeight="1" x14ac:dyDescent="0.2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  <c r="AM710" s="62"/>
      <c r="AN710" s="62"/>
      <c r="AO710" s="62"/>
    </row>
    <row r="711" spans="1:41" ht="12.75" customHeight="1" x14ac:dyDescent="0.2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  <c r="AM711" s="62"/>
      <c r="AN711" s="62"/>
      <c r="AO711" s="62"/>
    </row>
    <row r="712" spans="1:41" ht="12.75" customHeight="1" x14ac:dyDescent="0.2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  <c r="AM712" s="62"/>
      <c r="AN712" s="62"/>
      <c r="AO712" s="62"/>
    </row>
    <row r="713" spans="1:41" ht="12.75" customHeight="1" x14ac:dyDescent="0.2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  <c r="AM713" s="62"/>
      <c r="AN713" s="62"/>
      <c r="AO713" s="62"/>
    </row>
    <row r="714" spans="1:41" ht="12.75" customHeight="1" x14ac:dyDescent="0.2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  <c r="AO714" s="62"/>
    </row>
    <row r="715" spans="1:41" ht="12.75" customHeight="1" x14ac:dyDescent="0.2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/>
      <c r="AI715" s="62"/>
      <c r="AJ715" s="62"/>
      <c r="AK715" s="62"/>
      <c r="AL715" s="62"/>
      <c r="AM715" s="62"/>
      <c r="AN715" s="62"/>
      <c r="AO715" s="62"/>
    </row>
    <row r="716" spans="1:41" ht="12.75" customHeight="1" x14ac:dyDescent="0.2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  <c r="AM716" s="62"/>
      <c r="AN716" s="62"/>
      <c r="AO716" s="62"/>
    </row>
    <row r="717" spans="1:41" ht="12.75" customHeight="1" x14ac:dyDescent="0.2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  <c r="AM717" s="62"/>
      <c r="AN717" s="62"/>
      <c r="AO717" s="62"/>
    </row>
    <row r="718" spans="1:41" ht="12.75" customHeight="1" x14ac:dyDescent="0.2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  <c r="AM718" s="62"/>
      <c r="AN718" s="62"/>
      <c r="AO718" s="62"/>
    </row>
    <row r="719" spans="1:41" ht="12.75" customHeight="1" x14ac:dyDescent="0.2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  <c r="AM719" s="62"/>
      <c r="AN719" s="62"/>
      <c r="AO719" s="62"/>
    </row>
    <row r="720" spans="1:41" ht="12.75" customHeight="1" x14ac:dyDescent="0.2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  <c r="AM720" s="62"/>
      <c r="AN720" s="62"/>
      <c r="AO720" s="62"/>
    </row>
    <row r="721" spans="1:41" ht="12.75" customHeight="1" x14ac:dyDescent="0.2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  <c r="AM721" s="62"/>
      <c r="AN721" s="62"/>
      <c r="AO721" s="62"/>
    </row>
    <row r="722" spans="1:41" ht="12.75" customHeight="1" x14ac:dyDescent="0.2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  <c r="AM722" s="62"/>
      <c r="AN722" s="62"/>
      <c r="AO722" s="62"/>
    </row>
    <row r="723" spans="1:41" ht="12.75" customHeight="1" x14ac:dyDescent="0.2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/>
      <c r="AI723" s="62"/>
      <c r="AJ723" s="62"/>
      <c r="AK723" s="62"/>
      <c r="AL723" s="62"/>
      <c r="AM723" s="62"/>
      <c r="AN723" s="62"/>
      <c r="AO723" s="62"/>
    </row>
    <row r="724" spans="1:41" ht="12.75" customHeight="1" x14ac:dyDescent="0.2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  <c r="AM724" s="62"/>
      <c r="AN724" s="62"/>
      <c r="AO724" s="62"/>
    </row>
    <row r="725" spans="1:41" ht="12.75" customHeight="1" x14ac:dyDescent="0.2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  <c r="AM725" s="62"/>
      <c r="AN725" s="62"/>
      <c r="AO725" s="62"/>
    </row>
    <row r="726" spans="1:41" ht="12.75" customHeight="1" x14ac:dyDescent="0.2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/>
      <c r="AI726" s="62"/>
      <c r="AJ726" s="62"/>
      <c r="AK726" s="62"/>
      <c r="AL726" s="62"/>
      <c r="AM726" s="62"/>
      <c r="AN726" s="62"/>
      <c r="AO726" s="62"/>
    </row>
    <row r="727" spans="1:41" ht="12.75" customHeight="1" x14ac:dyDescent="0.2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  <c r="AM727" s="62"/>
      <c r="AN727" s="62"/>
      <c r="AO727" s="62"/>
    </row>
    <row r="728" spans="1:41" ht="12.75" customHeight="1" x14ac:dyDescent="0.2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  <c r="AM728" s="62"/>
      <c r="AN728" s="62"/>
      <c r="AO728" s="62"/>
    </row>
    <row r="729" spans="1:41" ht="12.75" customHeight="1" x14ac:dyDescent="0.2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  <c r="AM729" s="62"/>
      <c r="AN729" s="62"/>
      <c r="AO729" s="62"/>
    </row>
    <row r="730" spans="1:41" ht="12.75" customHeight="1" x14ac:dyDescent="0.2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  <c r="AM730" s="62"/>
      <c r="AN730" s="62"/>
      <c r="AO730" s="62"/>
    </row>
    <row r="731" spans="1:41" ht="12.75" customHeight="1" x14ac:dyDescent="0.2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/>
      <c r="AI731" s="62"/>
      <c r="AJ731" s="62"/>
      <c r="AK731" s="62"/>
      <c r="AL731" s="62"/>
      <c r="AM731" s="62"/>
      <c r="AN731" s="62"/>
      <c r="AO731" s="62"/>
    </row>
    <row r="732" spans="1:41" ht="12.75" customHeight="1" x14ac:dyDescent="0.2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2"/>
      <c r="AM732" s="62"/>
      <c r="AN732" s="62"/>
      <c r="AO732" s="62"/>
    </row>
    <row r="733" spans="1:41" ht="12.75" customHeight="1" x14ac:dyDescent="0.2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/>
      <c r="AI733" s="62"/>
      <c r="AJ733" s="62"/>
      <c r="AK733" s="62"/>
      <c r="AL733" s="62"/>
      <c r="AM733" s="62"/>
      <c r="AN733" s="62"/>
      <c r="AO733" s="62"/>
    </row>
    <row r="734" spans="1:41" ht="12.75" customHeight="1" x14ac:dyDescent="0.2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/>
      <c r="AI734" s="62"/>
      <c r="AJ734" s="62"/>
      <c r="AK734" s="62"/>
      <c r="AL734" s="62"/>
      <c r="AM734" s="62"/>
      <c r="AN734" s="62"/>
      <c r="AO734" s="62"/>
    </row>
    <row r="735" spans="1:41" ht="12.75" customHeight="1" x14ac:dyDescent="0.2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/>
      <c r="AI735" s="62"/>
      <c r="AJ735" s="62"/>
      <c r="AK735" s="62"/>
      <c r="AL735" s="62"/>
      <c r="AM735" s="62"/>
      <c r="AN735" s="62"/>
      <c r="AO735" s="62"/>
    </row>
    <row r="736" spans="1:41" ht="12.75" customHeight="1" x14ac:dyDescent="0.2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/>
      <c r="AI736" s="62"/>
      <c r="AJ736" s="62"/>
      <c r="AK736" s="62"/>
      <c r="AL736" s="62"/>
      <c r="AM736" s="62"/>
      <c r="AN736" s="62"/>
      <c r="AO736" s="62"/>
    </row>
    <row r="737" spans="1:41" ht="12.75" customHeight="1" x14ac:dyDescent="0.2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/>
      <c r="AI737" s="62"/>
      <c r="AJ737" s="62"/>
      <c r="AK737" s="62"/>
      <c r="AL737" s="62"/>
      <c r="AM737" s="62"/>
      <c r="AN737" s="62"/>
      <c r="AO737" s="62"/>
    </row>
    <row r="738" spans="1:41" ht="12.75" customHeight="1" x14ac:dyDescent="0.2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/>
      <c r="AI738" s="62"/>
      <c r="AJ738" s="62"/>
      <c r="AK738" s="62"/>
      <c r="AL738" s="62"/>
      <c r="AM738" s="62"/>
      <c r="AN738" s="62"/>
      <c r="AO738" s="62"/>
    </row>
    <row r="739" spans="1:41" ht="12.75" customHeight="1" x14ac:dyDescent="0.2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  <c r="AM739" s="62"/>
      <c r="AN739" s="62"/>
      <c r="AO739" s="62"/>
    </row>
    <row r="740" spans="1:41" ht="12.75" customHeight="1" x14ac:dyDescent="0.2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/>
      <c r="AI740" s="62"/>
      <c r="AJ740" s="62"/>
      <c r="AK740" s="62"/>
      <c r="AL740" s="62"/>
      <c r="AM740" s="62"/>
      <c r="AN740" s="62"/>
      <c r="AO740" s="62"/>
    </row>
    <row r="741" spans="1:41" ht="12.75" customHeight="1" x14ac:dyDescent="0.2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/>
      <c r="AI741" s="62"/>
      <c r="AJ741" s="62"/>
      <c r="AK741" s="62"/>
      <c r="AL741" s="62"/>
      <c r="AM741" s="62"/>
      <c r="AN741" s="62"/>
      <c r="AO741" s="62"/>
    </row>
    <row r="742" spans="1:41" ht="12.75" customHeight="1" x14ac:dyDescent="0.2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/>
      <c r="AI742" s="62"/>
      <c r="AJ742" s="62"/>
      <c r="AK742" s="62"/>
      <c r="AL742" s="62"/>
      <c r="AM742" s="62"/>
      <c r="AN742" s="62"/>
      <c r="AO742" s="62"/>
    </row>
    <row r="743" spans="1:41" ht="12.75" customHeight="1" x14ac:dyDescent="0.2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/>
      <c r="AI743" s="62"/>
      <c r="AJ743" s="62"/>
      <c r="AK743" s="62"/>
      <c r="AL743" s="62"/>
      <c r="AM743" s="62"/>
      <c r="AN743" s="62"/>
      <c r="AO743" s="62"/>
    </row>
    <row r="744" spans="1:41" ht="12.75" customHeight="1" x14ac:dyDescent="0.2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  <c r="AM744" s="62"/>
      <c r="AN744" s="62"/>
      <c r="AO744" s="62"/>
    </row>
    <row r="745" spans="1:41" ht="12.75" customHeight="1" x14ac:dyDescent="0.2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/>
      <c r="AI745" s="62"/>
      <c r="AJ745" s="62"/>
      <c r="AK745" s="62"/>
      <c r="AL745" s="62"/>
      <c r="AM745" s="62"/>
      <c r="AN745" s="62"/>
      <c r="AO745" s="62"/>
    </row>
    <row r="746" spans="1:41" ht="12.75" customHeight="1" x14ac:dyDescent="0.2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/>
      <c r="AI746" s="62"/>
      <c r="AJ746" s="62"/>
      <c r="AK746" s="62"/>
      <c r="AL746" s="62"/>
      <c r="AM746" s="62"/>
      <c r="AN746" s="62"/>
      <c r="AO746" s="62"/>
    </row>
    <row r="747" spans="1:41" ht="12.75" customHeight="1" x14ac:dyDescent="0.2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  <c r="AM747" s="62"/>
      <c r="AN747" s="62"/>
      <c r="AO747" s="62"/>
    </row>
    <row r="748" spans="1:41" ht="12.75" customHeight="1" x14ac:dyDescent="0.2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/>
      <c r="AI748" s="62"/>
      <c r="AJ748" s="62"/>
      <c r="AK748" s="62"/>
      <c r="AL748" s="62"/>
      <c r="AM748" s="62"/>
      <c r="AN748" s="62"/>
      <c r="AO748" s="62"/>
    </row>
    <row r="749" spans="1:41" ht="12.75" customHeight="1" x14ac:dyDescent="0.2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/>
      <c r="AI749" s="62"/>
      <c r="AJ749" s="62"/>
      <c r="AK749" s="62"/>
      <c r="AL749" s="62"/>
      <c r="AM749" s="62"/>
      <c r="AN749" s="62"/>
      <c r="AO749" s="62"/>
    </row>
    <row r="750" spans="1:41" ht="12.75" customHeight="1" x14ac:dyDescent="0.2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/>
      <c r="AI750" s="62"/>
      <c r="AJ750" s="62"/>
      <c r="AK750" s="62"/>
      <c r="AL750" s="62"/>
      <c r="AM750" s="62"/>
      <c r="AN750" s="62"/>
      <c r="AO750" s="62"/>
    </row>
    <row r="751" spans="1:41" ht="12.75" customHeight="1" x14ac:dyDescent="0.2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/>
      <c r="AI751" s="62"/>
      <c r="AJ751" s="62"/>
      <c r="AK751" s="62"/>
      <c r="AL751" s="62"/>
      <c r="AM751" s="62"/>
      <c r="AN751" s="62"/>
      <c r="AO751" s="62"/>
    </row>
    <row r="752" spans="1:41" ht="12.75" customHeight="1" x14ac:dyDescent="0.2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/>
      <c r="AI752" s="62"/>
      <c r="AJ752" s="62"/>
      <c r="AK752" s="62"/>
      <c r="AL752" s="62"/>
      <c r="AM752" s="62"/>
      <c r="AN752" s="62"/>
      <c r="AO752" s="62"/>
    </row>
    <row r="753" spans="1:41" ht="12.75" customHeight="1" x14ac:dyDescent="0.2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/>
      <c r="AI753" s="62"/>
      <c r="AJ753" s="62"/>
      <c r="AK753" s="62"/>
      <c r="AL753" s="62"/>
      <c r="AM753" s="62"/>
      <c r="AN753" s="62"/>
      <c r="AO753" s="62"/>
    </row>
    <row r="754" spans="1:41" ht="12.75" customHeight="1" x14ac:dyDescent="0.2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/>
      <c r="AI754" s="62"/>
      <c r="AJ754" s="62"/>
      <c r="AK754" s="62"/>
      <c r="AL754" s="62"/>
      <c r="AM754" s="62"/>
      <c r="AN754" s="62"/>
      <c r="AO754" s="62"/>
    </row>
    <row r="755" spans="1:41" ht="12.75" customHeight="1" x14ac:dyDescent="0.2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/>
      <c r="AI755" s="62"/>
      <c r="AJ755" s="62"/>
      <c r="AK755" s="62"/>
      <c r="AL755" s="62"/>
      <c r="AM755" s="62"/>
      <c r="AN755" s="62"/>
      <c r="AO755" s="62"/>
    </row>
    <row r="756" spans="1:41" ht="12.75" customHeight="1" x14ac:dyDescent="0.2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/>
      <c r="AI756" s="62"/>
      <c r="AJ756" s="62"/>
      <c r="AK756" s="62"/>
      <c r="AL756" s="62"/>
      <c r="AM756" s="62"/>
      <c r="AN756" s="62"/>
      <c r="AO756" s="62"/>
    </row>
    <row r="757" spans="1:41" ht="12.75" customHeight="1" x14ac:dyDescent="0.2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I757" s="62"/>
      <c r="AJ757" s="62"/>
      <c r="AK757" s="62"/>
      <c r="AL757" s="62"/>
      <c r="AM757" s="62"/>
      <c r="AN757" s="62"/>
      <c r="AO757" s="62"/>
    </row>
    <row r="758" spans="1:41" ht="12.75" customHeight="1" x14ac:dyDescent="0.2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/>
      <c r="AI758" s="62"/>
      <c r="AJ758" s="62"/>
      <c r="AK758" s="62"/>
      <c r="AL758" s="62"/>
      <c r="AM758" s="62"/>
      <c r="AN758" s="62"/>
      <c r="AO758" s="62"/>
    </row>
    <row r="759" spans="1:41" ht="12.75" customHeight="1" x14ac:dyDescent="0.2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/>
      <c r="AI759" s="62"/>
      <c r="AJ759" s="62"/>
      <c r="AK759" s="62"/>
      <c r="AL759" s="62"/>
      <c r="AM759" s="62"/>
      <c r="AN759" s="62"/>
      <c r="AO759" s="62"/>
    </row>
    <row r="760" spans="1:41" ht="12.75" customHeight="1" x14ac:dyDescent="0.2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/>
      <c r="AI760" s="62"/>
      <c r="AJ760" s="62"/>
      <c r="AK760" s="62"/>
      <c r="AL760" s="62"/>
      <c r="AM760" s="62"/>
      <c r="AN760" s="62"/>
      <c r="AO760" s="62"/>
    </row>
    <row r="761" spans="1:41" ht="12.75" customHeight="1" x14ac:dyDescent="0.2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/>
      <c r="AI761" s="62"/>
      <c r="AJ761" s="62"/>
      <c r="AK761" s="62"/>
      <c r="AL761" s="62"/>
      <c r="AM761" s="62"/>
      <c r="AN761" s="62"/>
      <c r="AO761" s="62"/>
    </row>
    <row r="762" spans="1:41" ht="12.75" customHeight="1" x14ac:dyDescent="0.2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/>
      <c r="AI762" s="62"/>
      <c r="AJ762" s="62"/>
      <c r="AK762" s="62"/>
      <c r="AL762" s="62"/>
      <c r="AM762" s="62"/>
      <c r="AN762" s="62"/>
      <c r="AO762" s="62"/>
    </row>
    <row r="763" spans="1:41" ht="12.75" customHeight="1" x14ac:dyDescent="0.2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/>
      <c r="AI763" s="62"/>
      <c r="AJ763" s="62"/>
      <c r="AK763" s="62"/>
      <c r="AL763" s="62"/>
      <c r="AM763" s="62"/>
      <c r="AN763" s="62"/>
      <c r="AO763" s="62"/>
    </row>
    <row r="764" spans="1:41" ht="12.75" customHeight="1" x14ac:dyDescent="0.2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/>
      <c r="AI764" s="62"/>
      <c r="AJ764" s="62"/>
      <c r="AK764" s="62"/>
      <c r="AL764" s="62"/>
      <c r="AM764" s="62"/>
      <c r="AN764" s="62"/>
      <c r="AO764" s="62"/>
    </row>
    <row r="765" spans="1:41" ht="12.75" customHeight="1" x14ac:dyDescent="0.2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/>
      <c r="AI765" s="62"/>
      <c r="AJ765" s="62"/>
      <c r="AK765" s="62"/>
      <c r="AL765" s="62"/>
      <c r="AM765" s="62"/>
      <c r="AN765" s="62"/>
      <c r="AO765" s="62"/>
    </row>
    <row r="766" spans="1:41" ht="12.75" customHeight="1" x14ac:dyDescent="0.2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/>
      <c r="AI766" s="62"/>
      <c r="AJ766" s="62"/>
      <c r="AK766" s="62"/>
      <c r="AL766" s="62"/>
      <c r="AM766" s="62"/>
      <c r="AN766" s="62"/>
      <c r="AO766" s="62"/>
    </row>
    <row r="767" spans="1:41" ht="12.75" customHeight="1" x14ac:dyDescent="0.2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/>
      <c r="AI767" s="62"/>
      <c r="AJ767" s="62"/>
      <c r="AK767" s="62"/>
      <c r="AL767" s="62"/>
      <c r="AM767" s="62"/>
      <c r="AN767" s="62"/>
      <c r="AO767" s="62"/>
    </row>
    <row r="768" spans="1:41" ht="12.75" customHeight="1" x14ac:dyDescent="0.2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/>
      <c r="AI768" s="62"/>
      <c r="AJ768" s="62"/>
      <c r="AK768" s="62"/>
      <c r="AL768" s="62"/>
      <c r="AM768" s="62"/>
      <c r="AN768" s="62"/>
      <c r="AO768" s="62"/>
    </row>
    <row r="769" spans="1:41" ht="12.75" customHeight="1" x14ac:dyDescent="0.2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/>
      <c r="AI769" s="62"/>
      <c r="AJ769" s="62"/>
      <c r="AK769" s="62"/>
      <c r="AL769" s="62"/>
      <c r="AM769" s="62"/>
      <c r="AN769" s="62"/>
      <c r="AO769" s="62"/>
    </row>
    <row r="770" spans="1:41" ht="12.75" customHeight="1" x14ac:dyDescent="0.2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41" ht="12.75" customHeight="1" x14ac:dyDescent="0.2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2"/>
      <c r="AK771" s="62"/>
      <c r="AL771" s="62"/>
      <c r="AM771" s="62"/>
      <c r="AN771" s="62"/>
      <c r="AO771" s="62"/>
    </row>
    <row r="772" spans="1:41" ht="12.75" customHeight="1" x14ac:dyDescent="0.2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/>
      <c r="AI772" s="62"/>
      <c r="AJ772" s="62"/>
      <c r="AK772" s="62"/>
      <c r="AL772" s="62"/>
      <c r="AM772" s="62"/>
      <c r="AN772" s="62"/>
      <c r="AO772" s="62"/>
    </row>
    <row r="773" spans="1:41" ht="12.75" customHeight="1" x14ac:dyDescent="0.2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/>
      <c r="AI773" s="62"/>
      <c r="AJ773" s="62"/>
      <c r="AK773" s="62"/>
      <c r="AL773" s="62"/>
      <c r="AM773" s="62"/>
      <c r="AN773" s="62"/>
      <c r="AO773" s="62"/>
    </row>
    <row r="774" spans="1:41" ht="12.75" customHeight="1" x14ac:dyDescent="0.2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/>
      <c r="AI774" s="62"/>
      <c r="AJ774" s="62"/>
      <c r="AK774" s="62"/>
      <c r="AL774" s="62"/>
      <c r="AM774" s="62"/>
      <c r="AN774" s="62"/>
      <c r="AO774" s="62"/>
    </row>
    <row r="775" spans="1:41" ht="12.75" customHeight="1" x14ac:dyDescent="0.2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/>
      <c r="AI775" s="62"/>
      <c r="AJ775" s="62"/>
      <c r="AK775" s="62"/>
      <c r="AL775" s="62"/>
      <c r="AM775" s="62"/>
      <c r="AN775" s="62"/>
      <c r="AO775" s="62"/>
    </row>
    <row r="776" spans="1:41" ht="12.75" customHeight="1" x14ac:dyDescent="0.2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/>
      <c r="AI776" s="62"/>
      <c r="AJ776" s="62"/>
      <c r="AK776" s="62"/>
      <c r="AL776" s="62"/>
      <c r="AM776" s="62"/>
      <c r="AN776" s="62"/>
      <c r="AO776" s="62"/>
    </row>
    <row r="777" spans="1:41" ht="12.75" customHeight="1" x14ac:dyDescent="0.2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  <c r="AM777" s="62"/>
      <c r="AN777" s="62"/>
      <c r="AO777" s="62"/>
    </row>
    <row r="778" spans="1:41" ht="12.75" customHeight="1" x14ac:dyDescent="0.2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  <c r="AM778" s="62"/>
      <c r="AN778" s="62"/>
      <c r="AO778" s="62"/>
    </row>
    <row r="779" spans="1:41" ht="12.75" customHeight="1" x14ac:dyDescent="0.2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  <c r="AM779" s="62"/>
      <c r="AN779" s="62"/>
      <c r="AO779" s="62"/>
    </row>
    <row r="780" spans="1:41" ht="12.75" customHeight="1" x14ac:dyDescent="0.2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  <c r="AM780" s="62"/>
      <c r="AN780" s="62"/>
      <c r="AO780" s="62"/>
    </row>
    <row r="781" spans="1:41" ht="12.75" customHeight="1" x14ac:dyDescent="0.2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/>
      <c r="AI781" s="62"/>
      <c r="AJ781" s="62"/>
      <c r="AK781" s="62"/>
      <c r="AL781" s="62"/>
      <c r="AM781" s="62"/>
      <c r="AN781" s="62"/>
      <c r="AO781" s="62"/>
    </row>
    <row r="782" spans="1:41" ht="12.75" customHeight="1" x14ac:dyDescent="0.2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/>
      <c r="AI782" s="62"/>
      <c r="AJ782" s="62"/>
      <c r="AK782" s="62"/>
      <c r="AL782" s="62"/>
      <c r="AM782" s="62"/>
      <c r="AN782" s="62"/>
      <c r="AO782" s="62"/>
    </row>
    <row r="783" spans="1:41" ht="12.75" customHeight="1" x14ac:dyDescent="0.2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  <c r="AO783" s="62"/>
    </row>
    <row r="784" spans="1:41" ht="12.75" customHeight="1" x14ac:dyDescent="0.2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62"/>
      <c r="AH784" s="62"/>
      <c r="AI784" s="62"/>
      <c r="AJ784" s="62"/>
      <c r="AK784" s="62"/>
      <c r="AL784" s="62"/>
      <c r="AM784" s="62"/>
      <c r="AN784" s="62"/>
      <c r="AO784" s="62"/>
    </row>
    <row r="785" spans="1:41" ht="12.75" customHeight="1" x14ac:dyDescent="0.2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</row>
    <row r="786" spans="1:41" ht="12.75" customHeight="1" x14ac:dyDescent="0.2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/>
      <c r="AI786" s="62"/>
      <c r="AJ786" s="62"/>
      <c r="AK786" s="62"/>
      <c r="AL786" s="62"/>
      <c r="AM786" s="62"/>
      <c r="AN786" s="62"/>
      <c r="AO786" s="62"/>
    </row>
    <row r="787" spans="1:41" ht="12.75" customHeight="1" x14ac:dyDescent="0.2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/>
      <c r="AI787" s="62"/>
      <c r="AJ787" s="62"/>
      <c r="AK787" s="62"/>
      <c r="AL787" s="62"/>
      <c r="AM787" s="62"/>
      <c r="AN787" s="62"/>
      <c r="AO787" s="62"/>
    </row>
    <row r="788" spans="1:41" ht="12.75" customHeight="1" x14ac:dyDescent="0.2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  <c r="AM788" s="62"/>
      <c r="AN788" s="62"/>
      <c r="AO788" s="62"/>
    </row>
    <row r="789" spans="1:41" ht="12.75" customHeight="1" x14ac:dyDescent="0.2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/>
      <c r="AI789" s="62"/>
      <c r="AJ789" s="62"/>
      <c r="AK789" s="62"/>
      <c r="AL789" s="62"/>
      <c r="AM789" s="62"/>
      <c r="AN789" s="62"/>
      <c r="AO789" s="62"/>
    </row>
    <row r="790" spans="1:41" ht="12.75" customHeight="1" x14ac:dyDescent="0.2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/>
      <c r="AI790" s="62"/>
      <c r="AJ790" s="62"/>
      <c r="AK790" s="62"/>
      <c r="AL790" s="62"/>
      <c r="AM790" s="62"/>
      <c r="AN790" s="62"/>
      <c r="AO790" s="62"/>
    </row>
    <row r="791" spans="1:41" ht="12.75" customHeight="1" x14ac:dyDescent="0.2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/>
      <c r="AI791" s="62"/>
      <c r="AJ791" s="62"/>
      <c r="AK791" s="62"/>
      <c r="AL791" s="62"/>
      <c r="AM791" s="62"/>
      <c r="AN791" s="62"/>
      <c r="AO791" s="62"/>
    </row>
    <row r="792" spans="1:41" ht="12.75" customHeight="1" x14ac:dyDescent="0.2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/>
      <c r="AI792" s="62"/>
      <c r="AJ792" s="62"/>
      <c r="AK792" s="62"/>
      <c r="AL792" s="62"/>
      <c r="AM792" s="62"/>
      <c r="AN792" s="62"/>
      <c r="AO792" s="62"/>
    </row>
    <row r="793" spans="1:41" ht="12.75" customHeight="1" x14ac:dyDescent="0.2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  <c r="AM793" s="62"/>
      <c r="AN793" s="62"/>
      <c r="AO793" s="62"/>
    </row>
    <row r="794" spans="1:41" ht="12.75" customHeight="1" x14ac:dyDescent="0.2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/>
      <c r="AI794" s="62"/>
      <c r="AJ794" s="62"/>
      <c r="AK794" s="62"/>
      <c r="AL794" s="62"/>
      <c r="AM794" s="62"/>
      <c r="AN794" s="62"/>
      <c r="AO794" s="62"/>
    </row>
    <row r="795" spans="1:41" ht="12.75" customHeight="1" x14ac:dyDescent="0.2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  <c r="AO795" s="62"/>
    </row>
    <row r="796" spans="1:41" ht="12.75" customHeight="1" x14ac:dyDescent="0.2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  <c r="AM796" s="62"/>
      <c r="AN796" s="62"/>
      <c r="AO796" s="62"/>
    </row>
    <row r="797" spans="1:41" ht="12.75" customHeight="1" x14ac:dyDescent="0.2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  <c r="AM797" s="62"/>
      <c r="AN797" s="62"/>
      <c r="AO797" s="62"/>
    </row>
    <row r="798" spans="1:41" ht="12.75" customHeight="1" x14ac:dyDescent="0.2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  <c r="AM798" s="62"/>
      <c r="AN798" s="62"/>
      <c r="AO798" s="62"/>
    </row>
    <row r="799" spans="1:41" ht="12.75" customHeight="1" x14ac:dyDescent="0.2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/>
      <c r="AI799" s="62"/>
      <c r="AJ799" s="62"/>
      <c r="AK799" s="62"/>
      <c r="AL799" s="62"/>
      <c r="AM799" s="62"/>
      <c r="AN799" s="62"/>
      <c r="AO799" s="62"/>
    </row>
    <row r="800" spans="1:41" ht="12.75" customHeight="1" x14ac:dyDescent="0.2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  <c r="AO800" s="62"/>
    </row>
    <row r="801" spans="1:41" ht="12.75" customHeight="1" x14ac:dyDescent="0.2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  <c r="AM801" s="62"/>
      <c r="AN801" s="62"/>
      <c r="AO801" s="62"/>
    </row>
    <row r="802" spans="1:41" ht="12.75" customHeight="1" x14ac:dyDescent="0.2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  <c r="AM802" s="62"/>
      <c r="AN802" s="62"/>
      <c r="AO802" s="62"/>
    </row>
    <row r="803" spans="1:41" ht="12.75" customHeight="1" x14ac:dyDescent="0.2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  <c r="AO803" s="62"/>
    </row>
    <row r="804" spans="1:41" ht="12.75" customHeight="1" x14ac:dyDescent="0.2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/>
      <c r="AI804" s="62"/>
      <c r="AJ804" s="62"/>
      <c r="AK804" s="62"/>
      <c r="AL804" s="62"/>
      <c r="AM804" s="62"/>
      <c r="AN804" s="62"/>
      <c r="AO804" s="62"/>
    </row>
    <row r="805" spans="1:41" ht="12.75" customHeight="1" x14ac:dyDescent="0.2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/>
      <c r="AI805" s="62"/>
      <c r="AJ805" s="62"/>
      <c r="AK805" s="62"/>
      <c r="AL805" s="62"/>
      <c r="AM805" s="62"/>
      <c r="AN805" s="62"/>
      <c r="AO805" s="62"/>
    </row>
    <row r="806" spans="1:41" ht="12.75" customHeight="1" x14ac:dyDescent="0.2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/>
      <c r="AI806" s="62"/>
      <c r="AJ806" s="62"/>
      <c r="AK806" s="62"/>
      <c r="AL806" s="62"/>
      <c r="AM806" s="62"/>
      <c r="AN806" s="62"/>
      <c r="AO806" s="62"/>
    </row>
    <row r="807" spans="1:41" ht="12.75" customHeight="1" x14ac:dyDescent="0.2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/>
      <c r="AI807" s="62"/>
      <c r="AJ807" s="62"/>
      <c r="AK807" s="62"/>
      <c r="AL807" s="62"/>
      <c r="AM807" s="62"/>
      <c r="AN807" s="62"/>
      <c r="AO807" s="62"/>
    </row>
    <row r="808" spans="1:41" ht="12.75" customHeight="1" x14ac:dyDescent="0.2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/>
      <c r="AI808" s="62"/>
      <c r="AJ808" s="62"/>
      <c r="AK808" s="62"/>
      <c r="AL808" s="62"/>
      <c r="AM808" s="62"/>
      <c r="AN808" s="62"/>
      <c r="AO808" s="62"/>
    </row>
    <row r="809" spans="1:41" ht="12.75" customHeight="1" x14ac:dyDescent="0.2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/>
      <c r="AI809" s="62"/>
      <c r="AJ809" s="62"/>
      <c r="AK809" s="62"/>
      <c r="AL809" s="62"/>
      <c r="AM809" s="62"/>
      <c r="AN809" s="62"/>
      <c r="AO809" s="62"/>
    </row>
    <row r="810" spans="1:41" ht="12.75" customHeight="1" x14ac:dyDescent="0.2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  <c r="AM810" s="62"/>
      <c r="AN810" s="62"/>
      <c r="AO810" s="62"/>
    </row>
    <row r="811" spans="1:41" ht="12.75" customHeight="1" x14ac:dyDescent="0.2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/>
      <c r="AI811" s="62"/>
      <c r="AJ811" s="62"/>
      <c r="AK811" s="62"/>
      <c r="AL811" s="62"/>
      <c r="AM811" s="62"/>
      <c r="AN811" s="62"/>
      <c r="AO811" s="62"/>
    </row>
    <row r="812" spans="1:41" ht="12.75" customHeight="1" x14ac:dyDescent="0.2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/>
      <c r="AI812" s="62"/>
      <c r="AJ812" s="62"/>
      <c r="AK812" s="62"/>
      <c r="AL812" s="62"/>
      <c r="AM812" s="62"/>
      <c r="AN812" s="62"/>
      <c r="AO812" s="62"/>
    </row>
    <row r="813" spans="1:41" ht="12.75" customHeight="1" x14ac:dyDescent="0.2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/>
      <c r="AI813" s="62"/>
      <c r="AJ813" s="62"/>
      <c r="AK813" s="62"/>
      <c r="AL813" s="62"/>
      <c r="AM813" s="62"/>
      <c r="AN813" s="62"/>
      <c r="AO813" s="62"/>
    </row>
    <row r="814" spans="1:41" ht="12.75" customHeight="1" x14ac:dyDescent="0.2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/>
      <c r="AI814" s="62"/>
      <c r="AJ814" s="62"/>
      <c r="AK814" s="62"/>
      <c r="AL814" s="62"/>
      <c r="AM814" s="62"/>
      <c r="AN814" s="62"/>
      <c r="AO814" s="62"/>
    </row>
    <row r="815" spans="1:41" ht="12.75" customHeight="1" x14ac:dyDescent="0.2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/>
      <c r="AI815" s="62"/>
      <c r="AJ815" s="62"/>
      <c r="AK815" s="62"/>
      <c r="AL815" s="62"/>
      <c r="AM815" s="62"/>
      <c r="AN815" s="62"/>
      <c r="AO815" s="62"/>
    </row>
    <row r="816" spans="1:41" ht="12.75" customHeight="1" x14ac:dyDescent="0.2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/>
      <c r="AI816" s="62"/>
      <c r="AJ816" s="62"/>
      <c r="AK816" s="62"/>
      <c r="AL816" s="62"/>
      <c r="AM816" s="62"/>
      <c r="AN816" s="62"/>
      <c r="AO816" s="62"/>
    </row>
    <row r="817" spans="1:41" ht="12.75" customHeight="1" x14ac:dyDescent="0.2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/>
      <c r="AI817" s="62"/>
      <c r="AJ817" s="62"/>
      <c r="AK817" s="62"/>
      <c r="AL817" s="62"/>
      <c r="AM817" s="62"/>
      <c r="AN817" s="62"/>
      <c r="AO817" s="62"/>
    </row>
    <row r="818" spans="1:41" ht="12.75" customHeight="1" x14ac:dyDescent="0.2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/>
      <c r="AI818" s="62"/>
      <c r="AJ818" s="62"/>
      <c r="AK818" s="62"/>
      <c r="AL818" s="62"/>
      <c r="AM818" s="62"/>
      <c r="AN818" s="62"/>
      <c r="AO818" s="62"/>
    </row>
    <row r="819" spans="1:41" ht="12.75" customHeight="1" x14ac:dyDescent="0.2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/>
      <c r="AI819" s="62"/>
      <c r="AJ819" s="62"/>
      <c r="AK819" s="62"/>
      <c r="AL819" s="62"/>
      <c r="AM819" s="62"/>
      <c r="AN819" s="62"/>
      <c r="AO819" s="62"/>
    </row>
    <row r="820" spans="1:41" ht="12.75" customHeight="1" x14ac:dyDescent="0.2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/>
      <c r="AI820" s="62"/>
      <c r="AJ820" s="62"/>
      <c r="AK820" s="62"/>
      <c r="AL820" s="62"/>
      <c r="AM820" s="62"/>
      <c r="AN820" s="62"/>
      <c r="AO820" s="62"/>
    </row>
    <row r="821" spans="1:41" ht="12.75" customHeight="1" x14ac:dyDescent="0.2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/>
      <c r="AI821" s="62"/>
      <c r="AJ821" s="62"/>
      <c r="AK821" s="62"/>
      <c r="AL821" s="62"/>
      <c r="AM821" s="62"/>
      <c r="AN821" s="62"/>
      <c r="AO821" s="62"/>
    </row>
    <row r="822" spans="1:41" ht="12.75" customHeight="1" x14ac:dyDescent="0.2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/>
      <c r="AI822" s="62"/>
      <c r="AJ822" s="62"/>
      <c r="AK822" s="62"/>
      <c r="AL822" s="62"/>
      <c r="AM822" s="62"/>
      <c r="AN822" s="62"/>
      <c r="AO822" s="62"/>
    </row>
    <row r="823" spans="1:41" ht="12.75" customHeight="1" x14ac:dyDescent="0.2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/>
      <c r="AI823" s="62"/>
      <c r="AJ823" s="62"/>
      <c r="AK823" s="62"/>
      <c r="AL823" s="62"/>
      <c r="AM823" s="62"/>
      <c r="AN823" s="62"/>
      <c r="AO823" s="62"/>
    </row>
    <row r="824" spans="1:41" ht="12.75" customHeight="1" x14ac:dyDescent="0.2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/>
      <c r="AI824" s="62"/>
      <c r="AJ824" s="62"/>
      <c r="AK824" s="62"/>
      <c r="AL824" s="62"/>
      <c r="AM824" s="62"/>
      <c r="AN824" s="62"/>
      <c r="AO824" s="62"/>
    </row>
    <row r="825" spans="1:41" ht="12.75" customHeight="1" x14ac:dyDescent="0.2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/>
      <c r="AI825" s="62"/>
      <c r="AJ825" s="62"/>
      <c r="AK825" s="62"/>
      <c r="AL825" s="62"/>
      <c r="AM825" s="62"/>
      <c r="AN825" s="62"/>
      <c r="AO825" s="62"/>
    </row>
    <row r="826" spans="1:41" ht="12.75" customHeight="1" x14ac:dyDescent="0.2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/>
      <c r="AI826" s="62"/>
      <c r="AJ826" s="62"/>
      <c r="AK826" s="62"/>
      <c r="AL826" s="62"/>
      <c r="AM826" s="62"/>
      <c r="AN826" s="62"/>
      <c r="AO826" s="62"/>
    </row>
    <row r="827" spans="1:41" ht="12.75" customHeight="1" x14ac:dyDescent="0.2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  <c r="AM827" s="62"/>
      <c r="AN827" s="62"/>
      <c r="AO827" s="62"/>
    </row>
    <row r="828" spans="1:41" ht="12.75" customHeight="1" x14ac:dyDescent="0.2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/>
      <c r="AI828" s="62"/>
      <c r="AJ828" s="62"/>
      <c r="AK828" s="62"/>
      <c r="AL828" s="62"/>
      <c r="AM828" s="62"/>
      <c r="AN828" s="62"/>
      <c r="AO828" s="62"/>
    </row>
    <row r="829" spans="1:41" ht="12.75" customHeight="1" x14ac:dyDescent="0.2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/>
      <c r="AI829" s="62"/>
      <c r="AJ829" s="62"/>
      <c r="AK829" s="62"/>
      <c r="AL829" s="62"/>
      <c r="AM829" s="62"/>
      <c r="AN829" s="62"/>
      <c r="AO829" s="62"/>
    </row>
    <row r="830" spans="1:41" ht="12.75" customHeight="1" x14ac:dyDescent="0.2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/>
      <c r="AI830" s="62"/>
      <c r="AJ830" s="62"/>
      <c r="AK830" s="62"/>
      <c r="AL830" s="62"/>
      <c r="AM830" s="62"/>
      <c r="AN830" s="62"/>
      <c r="AO830" s="62"/>
    </row>
    <row r="831" spans="1:41" ht="12.75" customHeight="1" x14ac:dyDescent="0.2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/>
      <c r="AI831" s="62"/>
      <c r="AJ831" s="62"/>
      <c r="AK831" s="62"/>
      <c r="AL831" s="62"/>
      <c r="AM831" s="62"/>
      <c r="AN831" s="62"/>
      <c r="AO831" s="62"/>
    </row>
    <row r="832" spans="1:41" ht="12.75" customHeight="1" x14ac:dyDescent="0.2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  <c r="AO832" s="62"/>
    </row>
    <row r="833" spans="1:41" ht="12.75" customHeight="1" x14ac:dyDescent="0.2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/>
      <c r="AI833" s="62"/>
      <c r="AJ833" s="62"/>
      <c r="AK833" s="62"/>
      <c r="AL833" s="62"/>
      <c r="AM833" s="62"/>
      <c r="AN833" s="62"/>
      <c r="AO833" s="62"/>
    </row>
    <row r="834" spans="1:41" ht="12.75" customHeight="1" x14ac:dyDescent="0.2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/>
      <c r="AI834" s="62"/>
      <c r="AJ834" s="62"/>
      <c r="AK834" s="62"/>
      <c r="AL834" s="62"/>
      <c r="AM834" s="62"/>
      <c r="AN834" s="62"/>
      <c r="AO834" s="62"/>
    </row>
    <row r="835" spans="1:41" ht="12.75" customHeight="1" x14ac:dyDescent="0.2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  <c r="AM835" s="62"/>
      <c r="AN835" s="62"/>
      <c r="AO835" s="62"/>
    </row>
    <row r="836" spans="1:41" ht="12.75" customHeight="1" x14ac:dyDescent="0.2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  <c r="AO836" s="62"/>
    </row>
    <row r="837" spans="1:41" ht="12.75" customHeight="1" x14ac:dyDescent="0.2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  <c r="AO837" s="62"/>
    </row>
    <row r="838" spans="1:41" ht="12.75" customHeight="1" x14ac:dyDescent="0.2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  <c r="AM838" s="62"/>
      <c r="AN838" s="62"/>
      <c r="AO838" s="62"/>
    </row>
    <row r="839" spans="1:41" ht="12.75" customHeight="1" x14ac:dyDescent="0.2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  <c r="AM839" s="62"/>
      <c r="AN839" s="62"/>
      <c r="AO839" s="62"/>
    </row>
    <row r="840" spans="1:41" ht="12.75" customHeight="1" x14ac:dyDescent="0.2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  <c r="AM840" s="62"/>
      <c r="AN840" s="62"/>
      <c r="AO840" s="62"/>
    </row>
    <row r="841" spans="1:41" ht="12.75" customHeight="1" x14ac:dyDescent="0.2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  <c r="AM841" s="62"/>
      <c r="AN841" s="62"/>
      <c r="AO841" s="62"/>
    </row>
    <row r="842" spans="1:41" ht="12.75" customHeight="1" x14ac:dyDescent="0.2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  <c r="AO842" s="62"/>
    </row>
    <row r="843" spans="1:41" ht="12.75" customHeight="1" x14ac:dyDescent="0.2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  <c r="AM843" s="62"/>
      <c r="AN843" s="62"/>
      <c r="AO843" s="62"/>
    </row>
    <row r="844" spans="1:41" ht="12.75" customHeight="1" x14ac:dyDescent="0.2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  <c r="AM844" s="62"/>
      <c r="AN844" s="62"/>
      <c r="AO844" s="62"/>
    </row>
    <row r="845" spans="1:41" ht="12.75" customHeight="1" x14ac:dyDescent="0.2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  <c r="AM845" s="62"/>
      <c r="AN845" s="62"/>
      <c r="AO845" s="62"/>
    </row>
    <row r="846" spans="1:41" ht="12.75" customHeight="1" x14ac:dyDescent="0.2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  <c r="AM846" s="62"/>
      <c r="AN846" s="62"/>
      <c r="AO846" s="62"/>
    </row>
    <row r="847" spans="1:41" ht="12.75" customHeight="1" x14ac:dyDescent="0.2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  <c r="AM847" s="62"/>
      <c r="AN847" s="62"/>
      <c r="AO847" s="62"/>
    </row>
    <row r="848" spans="1:41" ht="12.75" customHeight="1" x14ac:dyDescent="0.2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/>
      <c r="AI848" s="62"/>
      <c r="AJ848" s="62"/>
      <c r="AK848" s="62"/>
      <c r="AL848" s="62"/>
      <c r="AM848" s="62"/>
      <c r="AN848" s="62"/>
      <c r="AO848" s="62"/>
    </row>
    <row r="849" spans="1:41" ht="12.75" customHeight="1" x14ac:dyDescent="0.2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  <c r="AM849" s="62"/>
      <c r="AN849" s="62"/>
      <c r="AO849" s="62"/>
    </row>
    <row r="850" spans="1:41" ht="12.75" customHeight="1" x14ac:dyDescent="0.2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  <c r="AM850" s="62"/>
      <c r="AN850" s="62"/>
      <c r="AO850" s="62"/>
    </row>
    <row r="851" spans="1:41" ht="12.75" customHeight="1" x14ac:dyDescent="0.2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  <c r="AM851" s="62"/>
      <c r="AN851" s="62"/>
      <c r="AO851" s="62"/>
    </row>
    <row r="852" spans="1:41" ht="12.75" customHeight="1" x14ac:dyDescent="0.2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  <c r="AM852" s="62"/>
      <c r="AN852" s="62"/>
      <c r="AO852" s="62"/>
    </row>
    <row r="853" spans="1:41" ht="12.75" customHeight="1" x14ac:dyDescent="0.2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  <c r="AM853" s="62"/>
      <c r="AN853" s="62"/>
      <c r="AO853" s="62"/>
    </row>
    <row r="854" spans="1:41" ht="12.75" customHeight="1" x14ac:dyDescent="0.2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  <c r="AO854" s="62"/>
    </row>
    <row r="855" spans="1:41" ht="12.75" customHeight="1" x14ac:dyDescent="0.2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  <c r="AM855" s="62"/>
      <c r="AN855" s="62"/>
      <c r="AO855" s="62"/>
    </row>
    <row r="856" spans="1:41" ht="12.75" customHeight="1" x14ac:dyDescent="0.2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  <c r="AM856" s="62"/>
      <c r="AN856" s="62"/>
      <c r="AO856" s="62"/>
    </row>
    <row r="857" spans="1:41" ht="12.75" customHeight="1" x14ac:dyDescent="0.2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  <c r="AO857" s="62"/>
    </row>
    <row r="858" spans="1:41" ht="12.75" customHeight="1" x14ac:dyDescent="0.2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  <c r="AM858" s="62"/>
      <c r="AN858" s="62"/>
      <c r="AO858" s="62"/>
    </row>
    <row r="859" spans="1:41" ht="12.75" customHeight="1" x14ac:dyDescent="0.2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  <c r="AM859" s="62"/>
      <c r="AN859" s="62"/>
      <c r="AO859" s="62"/>
    </row>
    <row r="860" spans="1:41" ht="12.75" customHeight="1" x14ac:dyDescent="0.2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  <c r="AO860" s="62"/>
    </row>
    <row r="861" spans="1:41" ht="12.75" customHeight="1" x14ac:dyDescent="0.2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  <c r="AM861" s="62"/>
      <c r="AN861" s="62"/>
      <c r="AO861" s="62"/>
    </row>
    <row r="862" spans="1:41" ht="12.75" customHeight="1" x14ac:dyDescent="0.2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  <c r="AO862" s="62"/>
    </row>
    <row r="863" spans="1:41" ht="12.75" customHeight="1" x14ac:dyDescent="0.2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  <c r="AM863" s="62"/>
      <c r="AN863" s="62"/>
      <c r="AO863" s="62"/>
    </row>
    <row r="864" spans="1:41" ht="12.75" customHeight="1" x14ac:dyDescent="0.2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  <c r="AM864" s="62"/>
      <c r="AN864" s="62"/>
      <c r="AO864" s="62"/>
    </row>
    <row r="865" spans="1:41" ht="12.75" customHeight="1" x14ac:dyDescent="0.2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  <c r="AO865" s="62"/>
    </row>
    <row r="866" spans="1:41" ht="12.75" customHeight="1" x14ac:dyDescent="0.2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  <c r="AO866" s="62"/>
    </row>
    <row r="867" spans="1:41" ht="12.75" customHeight="1" x14ac:dyDescent="0.2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  <c r="AO867" s="62"/>
    </row>
    <row r="868" spans="1:41" ht="12.75" customHeight="1" x14ac:dyDescent="0.2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  <c r="AM868" s="62"/>
      <c r="AN868" s="62"/>
      <c r="AO868" s="62"/>
    </row>
    <row r="869" spans="1:41" ht="12.75" customHeight="1" x14ac:dyDescent="0.2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  <c r="AM869" s="62"/>
      <c r="AN869" s="62"/>
      <c r="AO869" s="62"/>
    </row>
    <row r="870" spans="1:41" ht="12.75" customHeight="1" x14ac:dyDescent="0.2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  <c r="AM870" s="62"/>
      <c r="AN870" s="62"/>
      <c r="AO870" s="62"/>
    </row>
    <row r="871" spans="1:41" ht="12.75" customHeight="1" x14ac:dyDescent="0.2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  <c r="AM871" s="62"/>
      <c r="AN871" s="62"/>
      <c r="AO871" s="62"/>
    </row>
    <row r="872" spans="1:41" ht="12.75" customHeight="1" x14ac:dyDescent="0.2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  <c r="AM872" s="62"/>
      <c r="AN872" s="62"/>
      <c r="AO872" s="62"/>
    </row>
    <row r="873" spans="1:41" ht="12.75" customHeight="1" x14ac:dyDescent="0.2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  <c r="AM873" s="62"/>
      <c r="AN873" s="62"/>
      <c r="AO873" s="62"/>
    </row>
    <row r="874" spans="1:41" ht="12.75" customHeight="1" x14ac:dyDescent="0.2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  <c r="AM874" s="62"/>
      <c r="AN874" s="62"/>
      <c r="AO874" s="62"/>
    </row>
    <row r="875" spans="1:41" ht="12.75" customHeight="1" x14ac:dyDescent="0.2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  <c r="AM875" s="62"/>
      <c r="AN875" s="62"/>
      <c r="AO875" s="62"/>
    </row>
    <row r="876" spans="1:41" ht="12.75" customHeight="1" x14ac:dyDescent="0.2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  <c r="AM876" s="62"/>
      <c r="AN876" s="62"/>
      <c r="AO876" s="62"/>
    </row>
    <row r="877" spans="1:41" ht="12.75" customHeight="1" x14ac:dyDescent="0.2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  <c r="AO877" s="62"/>
    </row>
    <row r="878" spans="1:41" ht="12.75" customHeight="1" x14ac:dyDescent="0.2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  <c r="AO878" s="62"/>
    </row>
    <row r="879" spans="1:41" ht="12.75" customHeight="1" x14ac:dyDescent="0.2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  <c r="AM879" s="62"/>
      <c r="AN879" s="62"/>
      <c r="AO879" s="62"/>
    </row>
    <row r="880" spans="1:41" ht="12.75" customHeight="1" x14ac:dyDescent="0.2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  <c r="AM880" s="62"/>
      <c r="AN880" s="62"/>
      <c r="AO880" s="62"/>
    </row>
    <row r="881" spans="1:41" ht="12.75" customHeight="1" x14ac:dyDescent="0.2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  <c r="AM881" s="62"/>
      <c r="AN881" s="62"/>
      <c r="AO881" s="62"/>
    </row>
    <row r="882" spans="1:41" ht="12.75" customHeight="1" x14ac:dyDescent="0.2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  <c r="AO882" s="62"/>
    </row>
    <row r="883" spans="1:41" ht="12.75" customHeight="1" x14ac:dyDescent="0.2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  <c r="AM883" s="62"/>
      <c r="AN883" s="62"/>
      <c r="AO883" s="62"/>
    </row>
    <row r="884" spans="1:41" ht="12.75" customHeight="1" x14ac:dyDescent="0.2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  <c r="AO884" s="62"/>
    </row>
    <row r="885" spans="1:41" ht="12.75" customHeight="1" x14ac:dyDescent="0.2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  <c r="AM885" s="62"/>
      <c r="AN885" s="62"/>
      <c r="AO885" s="62"/>
    </row>
    <row r="886" spans="1:41" ht="12.75" customHeight="1" x14ac:dyDescent="0.2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  <c r="AO886" s="62"/>
    </row>
    <row r="887" spans="1:41" ht="12.75" customHeight="1" x14ac:dyDescent="0.2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/>
      <c r="AI887" s="62"/>
      <c r="AJ887" s="62"/>
      <c r="AK887" s="62"/>
      <c r="AL887" s="62"/>
      <c r="AM887" s="62"/>
      <c r="AN887" s="62"/>
      <c r="AO887" s="62"/>
    </row>
    <row r="888" spans="1:41" ht="12.75" customHeight="1" x14ac:dyDescent="0.2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/>
      <c r="AI888" s="62"/>
      <c r="AJ888" s="62"/>
      <c r="AK888" s="62"/>
      <c r="AL888" s="62"/>
      <c r="AM888" s="62"/>
      <c r="AN888" s="62"/>
      <c r="AO888" s="62"/>
    </row>
    <row r="889" spans="1:41" ht="12.75" customHeight="1" x14ac:dyDescent="0.2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  <c r="AM889" s="62"/>
      <c r="AN889" s="62"/>
      <c r="AO889" s="62"/>
    </row>
    <row r="890" spans="1:41" ht="12.75" customHeight="1" x14ac:dyDescent="0.2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  <c r="AM890" s="62"/>
      <c r="AN890" s="62"/>
      <c r="AO890" s="62"/>
    </row>
    <row r="891" spans="1:41" ht="12.75" customHeight="1" x14ac:dyDescent="0.2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  <c r="AO891" s="62"/>
    </row>
    <row r="892" spans="1:41" ht="12.75" customHeight="1" x14ac:dyDescent="0.2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  <c r="AO892" s="62"/>
    </row>
    <row r="893" spans="1:41" ht="12.75" customHeight="1" x14ac:dyDescent="0.2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  <c r="AM893" s="62"/>
      <c r="AN893" s="62"/>
      <c r="AO893" s="62"/>
    </row>
    <row r="894" spans="1:41" ht="12.75" customHeight="1" x14ac:dyDescent="0.2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  <c r="AM894" s="62"/>
      <c r="AN894" s="62"/>
      <c r="AO894" s="62"/>
    </row>
    <row r="895" spans="1:41" ht="12.75" customHeight="1" x14ac:dyDescent="0.2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  <c r="AM895" s="62"/>
      <c r="AN895" s="62"/>
      <c r="AO895" s="62"/>
    </row>
    <row r="896" spans="1:41" ht="12.75" customHeight="1" x14ac:dyDescent="0.2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  <c r="AM896" s="62"/>
      <c r="AN896" s="62"/>
      <c r="AO896" s="62"/>
    </row>
    <row r="897" spans="1:41" ht="12.75" customHeight="1" x14ac:dyDescent="0.2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  <c r="AO897" s="62"/>
    </row>
    <row r="898" spans="1:41" ht="12.75" customHeight="1" x14ac:dyDescent="0.2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  <c r="AM898" s="62"/>
      <c r="AN898" s="62"/>
      <c r="AO898" s="62"/>
    </row>
    <row r="899" spans="1:41" ht="12.75" customHeight="1" x14ac:dyDescent="0.2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/>
      <c r="AI899" s="62"/>
      <c r="AJ899" s="62"/>
      <c r="AK899" s="62"/>
      <c r="AL899" s="62"/>
      <c r="AM899" s="62"/>
      <c r="AN899" s="62"/>
      <c r="AO899" s="62"/>
    </row>
    <row r="900" spans="1:41" ht="12.75" customHeight="1" x14ac:dyDescent="0.2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/>
      <c r="AI900" s="62"/>
      <c r="AJ900" s="62"/>
      <c r="AK900" s="62"/>
      <c r="AL900" s="62"/>
      <c r="AM900" s="62"/>
      <c r="AN900" s="62"/>
      <c r="AO900" s="62"/>
    </row>
    <row r="901" spans="1:41" ht="12.75" customHeight="1" x14ac:dyDescent="0.2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/>
      <c r="AI901" s="62"/>
      <c r="AJ901" s="62"/>
      <c r="AK901" s="62"/>
      <c r="AL901" s="62"/>
      <c r="AM901" s="62"/>
      <c r="AN901" s="62"/>
      <c r="AO901" s="62"/>
    </row>
    <row r="902" spans="1:41" ht="12.75" customHeight="1" x14ac:dyDescent="0.2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/>
      <c r="AI902" s="62"/>
      <c r="AJ902" s="62"/>
      <c r="AK902" s="62"/>
      <c r="AL902" s="62"/>
      <c r="AM902" s="62"/>
      <c r="AN902" s="62"/>
      <c r="AO902" s="62"/>
    </row>
    <row r="903" spans="1:41" ht="12.75" customHeight="1" x14ac:dyDescent="0.2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  <c r="AM903" s="62"/>
      <c r="AN903" s="62"/>
      <c r="AO903" s="62"/>
    </row>
    <row r="904" spans="1:41" ht="12.75" customHeight="1" x14ac:dyDescent="0.2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/>
      <c r="AI904" s="62"/>
      <c r="AJ904" s="62"/>
      <c r="AK904" s="62"/>
      <c r="AL904" s="62"/>
      <c r="AM904" s="62"/>
      <c r="AN904" s="62"/>
      <c r="AO904" s="62"/>
    </row>
    <row r="905" spans="1:41" ht="12.75" customHeight="1" x14ac:dyDescent="0.2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/>
      <c r="AI905" s="62"/>
      <c r="AJ905" s="62"/>
      <c r="AK905" s="62"/>
      <c r="AL905" s="62"/>
      <c r="AM905" s="62"/>
      <c r="AN905" s="62"/>
      <c r="AO905" s="62"/>
    </row>
    <row r="906" spans="1:41" ht="12.75" customHeight="1" x14ac:dyDescent="0.2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/>
      <c r="AI906" s="62"/>
      <c r="AJ906" s="62"/>
      <c r="AK906" s="62"/>
      <c r="AL906" s="62"/>
      <c r="AM906" s="62"/>
      <c r="AN906" s="62"/>
      <c r="AO906" s="62"/>
    </row>
    <row r="907" spans="1:41" ht="12.75" customHeight="1" x14ac:dyDescent="0.2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  <c r="AM907" s="62"/>
      <c r="AN907" s="62"/>
      <c r="AO907" s="62"/>
    </row>
    <row r="908" spans="1:41" ht="12.75" customHeight="1" x14ac:dyDescent="0.2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/>
      <c r="AI908" s="62"/>
      <c r="AJ908" s="62"/>
      <c r="AK908" s="62"/>
      <c r="AL908" s="62"/>
      <c r="AM908" s="62"/>
      <c r="AN908" s="62"/>
      <c r="AO908" s="62"/>
    </row>
    <row r="909" spans="1:41" ht="12.75" customHeight="1" x14ac:dyDescent="0.2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2"/>
      <c r="AM909" s="62"/>
      <c r="AN909" s="62"/>
      <c r="AO909" s="62"/>
    </row>
    <row r="910" spans="1:41" ht="12.75" customHeight="1" x14ac:dyDescent="0.2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/>
      <c r="AI910" s="62"/>
      <c r="AJ910" s="62"/>
      <c r="AK910" s="62"/>
      <c r="AL910" s="62"/>
      <c r="AM910" s="62"/>
      <c r="AN910" s="62"/>
      <c r="AO910" s="62"/>
    </row>
    <row r="911" spans="1:41" ht="12.75" customHeight="1" x14ac:dyDescent="0.2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/>
      <c r="AI911" s="62"/>
      <c r="AJ911" s="62"/>
      <c r="AK911" s="62"/>
      <c r="AL911" s="62"/>
      <c r="AM911" s="62"/>
      <c r="AN911" s="62"/>
      <c r="AO911" s="62"/>
    </row>
    <row r="912" spans="1:41" ht="12.75" customHeight="1" x14ac:dyDescent="0.2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/>
      <c r="AI912" s="62"/>
      <c r="AJ912" s="62"/>
      <c r="AK912" s="62"/>
      <c r="AL912" s="62"/>
      <c r="AM912" s="62"/>
      <c r="AN912" s="62"/>
      <c r="AO912" s="62"/>
    </row>
    <row r="913" spans="1:41" ht="12.75" customHeight="1" x14ac:dyDescent="0.2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  <c r="AG913" s="62"/>
      <c r="AH913" s="62"/>
      <c r="AI913" s="62"/>
      <c r="AJ913" s="62"/>
      <c r="AK913" s="62"/>
      <c r="AL913" s="62"/>
      <c r="AM913" s="62"/>
      <c r="AN913" s="62"/>
      <c r="AO913" s="62"/>
    </row>
    <row r="914" spans="1:41" ht="12.75" customHeight="1" x14ac:dyDescent="0.2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/>
      <c r="AI914" s="62"/>
      <c r="AJ914" s="62"/>
      <c r="AK914" s="62"/>
      <c r="AL914" s="62"/>
      <c r="AM914" s="62"/>
      <c r="AN914" s="62"/>
      <c r="AO914" s="62"/>
    </row>
    <row r="915" spans="1:41" ht="12.75" customHeight="1" x14ac:dyDescent="0.2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/>
      <c r="AI915" s="62"/>
      <c r="AJ915" s="62"/>
      <c r="AK915" s="62"/>
      <c r="AL915" s="62"/>
      <c r="AM915" s="62"/>
      <c r="AN915" s="62"/>
      <c r="AO915" s="62"/>
    </row>
    <row r="916" spans="1:41" ht="12.75" customHeight="1" x14ac:dyDescent="0.2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/>
      <c r="AI916" s="62"/>
      <c r="AJ916" s="62"/>
      <c r="AK916" s="62"/>
      <c r="AL916" s="62"/>
      <c r="AM916" s="62"/>
      <c r="AN916" s="62"/>
      <c r="AO916" s="62"/>
    </row>
    <row r="917" spans="1:41" ht="12.75" customHeight="1" x14ac:dyDescent="0.2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  <c r="AM917" s="62"/>
      <c r="AN917" s="62"/>
      <c r="AO917" s="62"/>
    </row>
    <row r="918" spans="1:41" ht="12.75" customHeight="1" x14ac:dyDescent="0.2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  <c r="AM918" s="62"/>
      <c r="AN918" s="62"/>
      <c r="AO918" s="62"/>
    </row>
    <row r="919" spans="1:41" ht="12.75" customHeight="1" x14ac:dyDescent="0.2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/>
      <c r="AI919" s="62"/>
      <c r="AJ919" s="62"/>
      <c r="AK919" s="62"/>
      <c r="AL919" s="62"/>
      <c r="AM919" s="62"/>
      <c r="AN919" s="62"/>
      <c r="AO919" s="62"/>
    </row>
    <row r="920" spans="1:41" ht="12.75" customHeight="1" x14ac:dyDescent="0.2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41" ht="12.75" customHeight="1" x14ac:dyDescent="0.2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/>
      <c r="AI921" s="62"/>
      <c r="AJ921" s="62"/>
      <c r="AK921" s="62"/>
      <c r="AL921" s="62"/>
      <c r="AM921" s="62"/>
      <c r="AN921" s="62"/>
      <c r="AO921" s="62"/>
    </row>
    <row r="922" spans="1:41" ht="12.75" customHeight="1" x14ac:dyDescent="0.2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/>
      <c r="AI922" s="62"/>
      <c r="AJ922" s="62"/>
      <c r="AK922" s="62"/>
      <c r="AL922" s="62"/>
      <c r="AM922" s="62"/>
      <c r="AN922" s="62"/>
      <c r="AO922" s="62"/>
    </row>
    <row r="923" spans="1:41" ht="12.75" customHeight="1" x14ac:dyDescent="0.2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/>
      <c r="AI923" s="62"/>
      <c r="AJ923" s="62"/>
      <c r="AK923" s="62"/>
      <c r="AL923" s="62"/>
      <c r="AM923" s="62"/>
      <c r="AN923" s="62"/>
      <c r="AO923" s="62"/>
    </row>
    <row r="924" spans="1:41" ht="12.75" customHeight="1" x14ac:dyDescent="0.2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/>
      <c r="AI924" s="62"/>
      <c r="AJ924" s="62"/>
      <c r="AK924" s="62"/>
      <c r="AL924" s="62"/>
      <c r="AM924" s="62"/>
      <c r="AN924" s="62"/>
      <c r="AO924" s="62"/>
    </row>
    <row r="925" spans="1:41" ht="12.75" customHeight="1" x14ac:dyDescent="0.2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/>
      <c r="AI925" s="62"/>
      <c r="AJ925" s="62"/>
      <c r="AK925" s="62"/>
      <c r="AL925" s="62"/>
      <c r="AM925" s="62"/>
      <c r="AN925" s="62"/>
      <c r="AO925" s="62"/>
    </row>
    <row r="926" spans="1:41" ht="12.75" customHeight="1" x14ac:dyDescent="0.2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/>
      <c r="AI926" s="62"/>
      <c r="AJ926" s="62"/>
      <c r="AK926" s="62"/>
      <c r="AL926" s="62"/>
      <c r="AM926" s="62"/>
      <c r="AN926" s="62"/>
      <c r="AO926" s="62"/>
    </row>
    <row r="927" spans="1:41" ht="12.75" customHeight="1" x14ac:dyDescent="0.2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/>
      <c r="AI927" s="62"/>
      <c r="AJ927" s="62"/>
      <c r="AK927" s="62"/>
      <c r="AL927" s="62"/>
      <c r="AM927" s="62"/>
      <c r="AN927" s="62"/>
      <c r="AO927" s="62"/>
    </row>
    <row r="928" spans="1:41" ht="12.75" customHeight="1" x14ac:dyDescent="0.2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  <c r="AM928" s="62"/>
      <c r="AN928" s="62"/>
      <c r="AO928" s="62"/>
    </row>
    <row r="929" spans="1:41" ht="12.75" customHeight="1" x14ac:dyDescent="0.2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  <c r="AM929" s="62"/>
      <c r="AN929" s="62"/>
      <c r="AO929" s="62"/>
    </row>
    <row r="930" spans="1:41" ht="12.75" customHeight="1" x14ac:dyDescent="0.2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/>
      <c r="AI930" s="62"/>
      <c r="AJ930" s="62"/>
      <c r="AK930" s="62"/>
      <c r="AL930" s="62"/>
      <c r="AM930" s="62"/>
      <c r="AN930" s="62"/>
      <c r="AO930" s="62"/>
    </row>
    <row r="931" spans="1:41" ht="12.75" customHeight="1" x14ac:dyDescent="0.2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/>
      <c r="AI931" s="62"/>
      <c r="AJ931" s="62"/>
      <c r="AK931" s="62"/>
      <c r="AL931" s="62"/>
      <c r="AM931" s="62"/>
      <c r="AN931" s="62"/>
      <c r="AO931" s="62"/>
    </row>
    <row r="932" spans="1:41" ht="12.75" customHeight="1" x14ac:dyDescent="0.2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/>
      <c r="AI932" s="62"/>
      <c r="AJ932" s="62"/>
      <c r="AK932" s="62"/>
      <c r="AL932" s="62"/>
      <c r="AM932" s="62"/>
      <c r="AN932" s="62"/>
      <c r="AO932" s="62"/>
    </row>
    <row r="933" spans="1:41" ht="12.75" customHeight="1" x14ac:dyDescent="0.2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/>
      <c r="AI933" s="62"/>
      <c r="AJ933" s="62"/>
      <c r="AK933" s="62"/>
      <c r="AL933" s="62"/>
      <c r="AM933" s="62"/>
      <c r="AN933" s="62"/>
      <c r="AO933" s="62"/>
    </row>
    <row r="934" spans="1:41" ht="12.75" customHeight="1" x14ac:dyDescent="0.2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/>
      <c r="AI934" s="62"/>
      <c r="AJ934" s="62"/>
      <c r="AK934" s="62"/>
      <c r="AL934" s="62"/>
      <c r="AM934" s="62"/>
      <c r="AN934" s="62"/>
      <c r="AO934" s="62"/>
    </row>
    <row r="935" spans="1:41" ht="12.75" customHeight="1" x14ac:dyDescent="0.2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  <c r="AM935" s="62"/>
      <c r="AN935" s="62"/>
      <c r="AO935" s="62"/>
    </row>
    <row r="936" spans="1:41" ht="12.75" customHeight="1" x14ac:dyDescent="0.2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  <c r="AM936" s="62"/>
      <c r="AN936" s="62"/>
      <c r="AO936" s="62"/>
    </row>
    <row r="937" spans="1:41" ht="12.75" customHeight="1" x14ac:dyDescent="0.2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/>
      <c r="AI937" s="62"/>
      <c r="AJ937" s="62"/>
      <c r="AK937" s="62"/>
      <c r="AL937" s="62"/>
      <c r="AM937" s="62"/>
      <c r="AN937" s="62"/>
      <c r="AO937" s="62"/>
    </row>
    <row r="938" spans="1:41" ht="12.75" customHeight="1" x14ac:dyDescent="0.2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/>
      <c r="AI938" s="62"/>
      <c r="AJ938" s="62"/>
      <c r="AK938" s="62"/>
      <c r="AL938" s="62"/>
      <c r="AM938" s="62"/>
      <c r="AN938" s="62"/>
      <c r="AO938" s="62"/>
    </row>
    <row r="939" spans="1:41" ht="12.75" customHeight="1" x14ac:dyDescent="0.2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/>
      <c r="AI939" s="62"/>
      <c r="AJ939" s="62"/>
      <c r="AK939" s="62"/>
      <c r="AL939" s="62"/>
      <c r="AM939" s="62"/>
      <c r="AN939" s="62"/>
      <c r="AO939" s="62"/>
    </row>
    <row r="940" spans="1:41" ht="12.75" customHeight="1" x14ac:dyDescent="0.2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  <c r="AM940" s="62"/>
      <c r="AN940" s="62"/>
      <c r="AO940" s="62"/>
    </row>
    <row r="941" spans="1:41" ht="12.75" customHeight="1" x14ac:dyDescent="0.2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  <c r="AM941" s="62"/>
      <c r="AN941" s="62"/>
      <c r="AO941" s="62"/>
    </row>
    <row r="942" spans="1:41" ht="12.75" customHeight="1" x14ac:dyDescent="0.2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  <c r="AM942" s="62"/>
      <c r="AN942" s="62"/>
      <c r="AO942" s="62"/>
    </row>
    <row r="943" spans="1:41" ht="12.75" customHeight="1" x14ac:dyDescent="0.2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/>
      <c r="AI943" s="62"/>
      <c r="AJ943" s="62"/>
      <c r="AK943" s="62"/>
      <c r="AL943" s="62"/>
      <c r="AM943" s="62"/>
      <c r="AN943" s="62"/>
      <c r="AO943" s="62"/>
    </row>
    <row r="944" spans="1:41" ht="12.75" customHeight="1" x14ac:dyDescent="0.2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  <c r="AM944" s="62"/>
      <c r="AN944" s="62"/>
      <c r="AO944" s="62"/>
    </row>
    <row r="945" spans="1:41" ht="12.75" customHeight="1" x14ac:dyDescent="0.2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/>
      <c r="AI945" s="62"/>
      <c r="AJ945" s="62"/>
      <c r="AK945" s="62"/>
      <c r="AL945" s="62"/>
      <c r="AM945" s="62"/>
      <c r="AN945" s="62"/>
      <c r="AO945" s="62"/>
    </row>
    <row r="946" spans="1:41" ht="12.75" customHeight="1" x14ac:dyDescent="0.2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/>
      <c r="AI946" s="62"/>
      <c r="AJ946" s="62"/>
      <c r="AK946" s="62"/>
      <c r="AL946" s="62"/>
      <c r="AM946" s="62"/>
      <c r="AN946" s="62"/>
      <c r="AO946" s="62"/>
    </row>
    <row r="947" spans="1:41" ht="12.75" customHeight="1" x14ac:dyDescent="0.2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/>
      <c r="AI947" s="62"/>
      <c r="AJ947" s="62"/>
      <c r="AK947" s="62"/>
      <c r="AL947" s="62"/>
      <c r="AM947" s="62"/>
      <c r="AN947" s="62"/>
      <c r="AO947" s="62"/>
    </row>
    <row r="948" spans="1:41" ht="12.75" customHeight="1" x14ac:dyDescent="0.2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/>
      <c r="AI948" s="62"/>
      <c r="AJ948" s="62"/>
      <c r="AK948" s="62"/>
      <c r="AL948" s="62"/>
      <c r="AM948" s="62"/>
      <c r="AN948" s="62"/>
      <c r="AO948" s="62"/>
    </row>
    <row r="949" spans="1:41" ht="12.75" customHeight="1" x14ac:dyDescent="0.2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  <c r="AM949" s="62"/>
      <c r="AN949" s="62"/>
      <c r="AO949" s="62"/>
    </row>
    <row r="950" spans="1:41" ht="12.75" customHeight="1" x14ac:dyDescent="0.2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  <c r="AM950" s="62"/>
      <c r="AN950" s="62"/>
      <c r="AO950" s="62"/>
    </row>
    <row r="951" spans="1:41" ht="12.75" customHeight="1" x14ac:dyDescent="0.2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/>
      <c r="AI951" s="62"/>
      <c r="AJ951" s="62"/>
      <c r="AK951" s="62"/>
      <c r="AL951" s="62"/>
      <c r="AM951" s="62"/>
      <c r="AN951" s="62"/>
      <c r="AO951" s="62"/>
    </row>
    <row r="952" spans="1:41" ht="12.75" customHeight="1" x14ac:dyDescent="0.2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  <c r="AM952" s="62"/>
      <c r="AN952" s="62"/>
      <c r="AO952" s="62"/>
    </row>
    <row r="953" spans="1:41" ht="12.75" customHeight="1" x14ac:dyDescent="0.2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/>
      <c r="AI953" s="62"/>
      <c r="AJ953" s="62"/>
      <c r="AK953" s="62"/>
      <c r="AL953" s="62"/>
      <c r="AM953" s="62"/>
      <c r="AN953" s="62"/>
      <c r="AO953" s="62"/>
    </row>
    <row r="954" spans="1:41" ht="12.75" customHeight="1" x14ac:dyDescent="0.2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/>
      <c r="AI954" s="62"/>
      <c r="AJ954" s="62"/>
      <c r="AK954" s="62"/>
      <c r="AL954" s="62"/>
      <c r="AM954" s="62"/>
      <c r="AN954" s="62"/>
      <c r="AO954" s="62"/>
    </row>
    <row r="955" spans="1:41" ht="12.75" customHeight="1" x14ac:dyDescent="0.2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/>
      <c r="AI955" s="62"/>
      <c r="AJ955" s="62"/>
      <c r="AK955" s="62"/>
      <c r="AL955" s="62"/>
      <c r="AM955" s="62"/>
      <c r="AN955" s="62"/>
      <c r="AO955" s="62"/>
    </row>
    <row r="956" spans="1:41" ht="12.75" customHeight="1" x14ac:dyDescent="0.2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  <c r="AM956" s="62"/>
      <c r="AN956" s="62"/>
      <c r="AO956" s="62"/>
    </row>
    <row r="957" spans="1:41" ht="12.75" customHeight="1" x14ac:dyDescent="0.2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  <c r="AM957" s="62"/>
      <c r="AN957" s="62"/>
      <c r="AO957" s="62"/>
    </row>
    <row r="958" spans="1:41" ht="12.75" customHeight="1" x14ac:dyDescent="0.2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  <c r="AM958" s="62"/>
      <c r="AN958" s="62"/>
      <c r="AO958" s="62"/>
    </row>
    <row r="959" spans="1:41" ht="12.75" customHeight="1" x14ac:dyDescent="0.2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  <c r="AM959" s="62"/>
      <c r="AN959" s="62"/>
      <c r="AO959" s="62"/>
    </row>
    <row r="960" spans="1:41" ht="12.75" customHeight="1" x14ac:dyDescent="0.2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/>
      <c r="AI960" s="62"/>
      <c r="AJ960" s="62"/>
      <c r="AK960" s="62"/>
      <c r="AL960" s="62"/>
      <c r="AM960" s="62"/>
      <c r="AN960" s="62"/>
      <c r="AO960" s="62"/>
    </row>
    <row r="961" spans="1:41" ht="12.75" customHeight="1" x14ac:dyDescent="0.2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  <c r="AM961" s="62"/>
      <c r="AN961" s="62"/>
      <c r="AO961" s="62"/>
    </row>
    <row r="962" spans="1:41" ht="12.75" customHeight="1" x14ac:dyDescent="0.2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  <c r="AM962" s="62"/>
      <c r="AN962" s="62"/>
      <c r="AO962" s="62"/>
    </row>
    <row r="963" spans="1:41" ht="12.75" customHeight="1" x14ac:dyDescent="0.2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  <c r="AM963" s="62"/>
      <c r="AN963" s="62"/>
      <c r="AO963" s="62"/>
    </row>
    <row r="964" spans="1:41" ht="12.75" customHeight="1" x14ac:dyDescent="0.2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  <c r="AM964" s="62"/>
      <c r="AN964" s="62"/>
      <c r="AO964" s="62"/>
    </row>
    <row r="965" spans="1:41" ht="12.75" customHeight="1" x14ac:dyDescent="0.2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  <c r="AM965" s="62"/>
      <c r="AN965" s="62"/>
      <c r="AO965" s="62"/>
    </row>
    <row r="966" spans="1:41" ht="12.75" customHeight="1" x14ac:dyDescent="0.2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/>
      <c r="AI966" s="62"/>
      <c r="AJ966" s="62"/>
      <c r="AK966" s="62"/>
      <c r="AL966" s="62"/>
      <c r="AM966" s="62"/>
      <c r="AN966" s="62"/>
      <c r="AO966" s="62"/>
    </row>
    <row r="967" spans="1:41" ht="12.75" customHeight="1" x14ac:dyDescent="0.2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/>
      <c r="AI967" s="62"/>
      <c r="AJ967" s="62"/>
      <c r="AK967" s="62"/>
      <c r="AL967" s="62"/>
      <c r="AM967" s="62"/>
      <c r="AN967" s="62"/>
      <c r="AO967" s="62"/>
    </row>
    <row r="968" spans="1:41" ht="12.75" customHeight="1" x14ac:dyDescent="0.2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/>
      <c r="AI968" s="62"/>
      <c r="AJ968" s="62"/>
      <c r="AK968" s="62"/>
      <c r="AL968" s="62"/>
      <c r="AM968" s="62"/>
      <c r="AN968" s="62"/>
      <c r="AO968" s="62"/>
    </row>
    <row r="969" spans="1:41" ht="12.75" customHeight="1" x14ac:dyDescent="0.2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/>
      <c r="AH969" s="62"/>
      <c r="AI969" s="62"/>
      <c r="AJ969" s="62"/>
      <c r="AK969" s="62"/>
      <c r="AL969" s="62"/>
      <c r="AM969" s="62"/>
      <c r="AN969" s="62"/>
      <c r="AO969" s="62"/>
    </row>
    <row r="970" spans="1:41" ht="12.75" customHeight="1" x14ac:dyDescent="0.2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  <c r="AM970" s="62"/>
      <c r="AN970" s="62"/>
      <c r="AO970" s="62"/>
    </row>
    <row r="971" spans="1:41" ht="12.75" customHeight="1" x14ac:dyDescent="0.2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  <c r="AM971" s="62"/>
      <c r="AN971" s="62"/>
      <c r="AO971" s="62"/>
    </row>
    <row r="972" spans="1:41" ht="12.75" customHeight="1" x14ac:dyDescent="0.2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/>
      <c r="AI972" s="62"/>
      <c r="AJ972" s="62"/>
      <c r="AK972" s="62"/>
      <c r="AL972" s="62"/>
      <c r="AM972" s="62"/>
      <c r="AN972" s="62"/>
      <c r="AO972" s="62"/>
    </row>
    <row r="973" spans="1:41" ht="12.75" customHeight="1" x14ac:dyDescent="0.2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  <c r="AO973" s="62"/>
    </row>
    <row r="974" spans="1:41" ht="12.75" customHeight="1" x14ac:dyDescent="0.2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/>
      <c r="AI974" s="62"/>
      <c r="AJ974" s="62"/>
      <c r="AK974" s="62"/>
      <c r="AL974" s="62"/>
      <c r="AM974" s="62"/>
      <c r="AN974" s="62"/>
      <c r="AO974" s="62"/>
    </row>
    <row r="975" spans="1:41" ht="12.75" customHeight="1" x14ac:dyDescent="0.2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  <c r="AM975" s="62"/>
      <c r="AN975" s="62"/>
      <c r="AO975" s="62"/>
    </row>
    <row r="976" spans="1:41" ht="12.75" customHeight="1" x14ac:dyDescent="0.2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  <c r="AM976" s="62"/>
      <c r="AN976" s="62"/>
      <c r="AO976" s="62"/>
    </row>
    <row r="977" spans="1:41" ht="12.75" customHeight="1" x14ac:dyDescent="0.2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  <c r="AM977" s="62"/>
      <c r="AN977" s="62"/>
      <c r="AO977" s="62"/>
    </row>
    <row r="978" spans="1:41" ht="12.75" customHeight="1" x14ac:dyDescent="0.2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/>
      <c r="AI978" s="62"/>
      <c r="AJ978" s="62"/>
      <c r="AK978" s="62"/>
      <c r="AL978" s="62"/>
      <c r="AM978" s="62"/>
      <c r="AN978" s="62"/>
      <c r="AO978" s="62"/>
    </row>
    <row r="979" spans="1:41" ht="12.75" customHeight="1" x14ac:dyDescent="0.2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  <c r="AM979" s="62"/>
      <c r="AN979" s="62"/>
      <c r="AO979" s="62"/>
    </row>
    <row r="980" spans="1:41" ht="12.75" customHeight="1" x14ac:dyDescent="0.2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  <c r="AM980" s="62"/>
      <c r="AN980" s="62"/>
      <c r="AO980" s="62"/>
    </row>
    <row r="981" spans="1:41" ht="12.75" customHeight="1" x14ac:dyDescent="0.2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  <c r="AO981" s="62"/>
    </row>
    <row r="982" spans="1:41" ht="12.75" customHeight="1" x14ac:dyDescent="0.2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  <c r="AM982" s="62"/>
      <c r="AN982" s="62"/>
      <c r="AO982" s="62"/>
    </row>
    <row r="983" spans="1:41" ht="12.75" customHeight="1" x14ac:dyDescent="0.2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/>
      <c r="AI983" s="62"/>
      <c r="AJ983" s="62"/>
      <c r="AK983" s="62"/>
      <c r="AL983" s="62"/>
      <c r="AM983" s="62"/>
      <c r="AN983" s="62"/>
      <c r="AO983" s="62"/>
    </row>
    <row r="984" spans="1:41" ht="12.75" customHeight="1" x14ac:dyDescent="0.2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  <c r="AO984" s="62"/>
    </row>
    <row r="985" spans="1:41" ht="12.75" customHeight="1" x14ac:dyDescent="0.2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  <c r="AM985" s="62"/>
      <c r="AN985" s="62"/>
      <c r="AO985" s="62"/>
    </row>
    <row r="986" spans="1:41" ht="12.75" customHeight="1" x14ac:dyDescent="0.2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/>
      <c r="AI986" s="62"/>
      <c r="AJ986" s="62"/>
      <c r="AK986" s="62"/>
      <c r="AL986" s="62"/>
      <c r="AM986" s="62"/>
      <c r="AN986" s="62"/>
      <c r="AO986" s="62"/>
    </row>
    <row r="987" spans="1:41" ht="12.75" customHeight="1" x14ac:dyDescent="0.2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  <c r="AM987" s="62"/>
      <c r="AN987" s="62"/>
      <c r="AO987" s="62"/>
    </row>
    <row r="988" spans="1:41" ht="12.75" customHeight="1" x14ac:dyDescent="0.2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  <c r="AM988" s="62"/>
      <c r="AN988" s="62"/>
      <c r="AO988" s="62"/>
    </row>
    <row r="989" spans="1:41" ht="12.75" customHeight="1" x14ac:dyDescent="0.2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  <c r="AM989" s="62"/>
      <c r="AN989" s="62"/>
      <c r="AO989" s="62"/>
    </row>
    <row r="990" spans="1:41" ht="12.75" customHeight="1" x14ac:dyDescent="0.2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/>
      <c r="AI990" s="62"/>
      <c r="AJ990" s="62"/>
      <c r="AK990" s="62"/>
      <c r="AL990" s="62"/>
      <c r="AM990" s="62"/>
      <c r="AN990" s="62"/>
      <c r="AO990" s="62"/>
    </row>
    <row r="991" spans="1:41" ht="12.75" customHeight="1" x14ac:dyDescent="0.2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/>
      <c r="AI991" s="62"/>
      <c r="AJ991" s="62"/>
      <c r="AK991" s="62"/>
      <c r="AL991" s="62"/>
      <c r="AM991" s="62"/>
      <c r="AN991" s="62"/>
      <c r="AO991" s="62"/>
    </row>
    <row r="992" spans="1:41" ht="12.75" customHeight="1" x14ac:dyDescent="0.2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  <c r="AG992" s="62"/>
      <c r="AH992" s="62"/>
      <c r="AI992" s="62"/>
      <c r="AJ992" s="62"/>
      <c r="AK992" s="62"/>
      <c r="AL992" s="62"/>
      <c r="AM992" s="62"/>
      <c r="AN992" s="62"/>
      <c r="AO992" s="62"/>
    </row>
    <row r="993" spans="1:41" ht="12.75" customHeight="1" x14ac:dyDescent="0.2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/>
      <c r="AI993" s="62"/>
      <c r="AJ993" s="62"/>
      <c r="AK993" s="62"/>
      <c r="AL993" s="62"/>
      <c r="AM993" s="62"/>
      <c r="AN993" s="62"/>
      <c r="AO993" s="62"/>
    </row>
    <row r="994" spans="1:41" ht="12.75" customHeight="1" x14ac:dyDescent="0.2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  <c r="AM994" s="62"/>
      <c r="AN994" s="62"/>
      <c r="AO994" s="62"/>
    </row>
    <row r="995" spans="1:41" ht="12.75" customHeight="1" x14ac:dyDescent="0.2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/>
      <c r="AI995" s="62"/>
      <c r="AJ995" s="62"/>
      <c r="AK995" s="62"/>
      <c r="AL995" s="62"/>
      <c r="AM995" s="62"/>
      <c r="AN995" s="62"/>
      <c r="AO995" s="62"/>
    </row>
    <row r="996" spans="1:41" ht="12.75" customHeight="1" x14ac:dyDescent="0.2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/>
      <c r="AI996" s="62"/>
      <c r="AJ996" s="62"/>
      <c r="AK996" s="62"/>
      <c r="AL996" s="62"/>
      <c r="AM996" s="62"/>
      <c r="AN996" s="62"/>
      <c r="AO996" s="62"/>
    </row>
    <row r="997" spans="1:41" ht="12.75" customHeight="1" x14ac:dyDescent="0.2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/>
      <c r="AI997" s="62"/>
      <c r="AJ997" s="62"/>
      <c r="AK997" s="62"/>
      <c r="AL997" s="62"/>
      <c r="AM997" s="62"/>
      <c r="AN997" s="62"/>
      <c r="AO997" s="62"/>
    </row>
    <row r="998" spans="1:41" ht="12.75" customHeight="1" x14ac:dyDescent="0.2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  <c r="AG998" s="62"/>
      <c r="AH998" s="62"/>
      <c r="AI998" s="62"/>
      <c r="AJ998" s="62"/>
      <c r="AK998" s="62"/>
      <c r="AL998" s="62"/>
      <c r="AM998" s="62"/>
      <c r="AN998" s="62"/>
      <c r="AO998" s="62"/>
    </row>
    <row r="999" spans="1:41" ht="12.75" customHeight="1" x14ac:dyDescent="0.2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  <c r="AG999" s="62"/>
      <c r="AH999" s="62"/>
      <c r="AI999" s="62"/>
      <c r="AJ999" s="62"/>
      <c r="AK999" s="62"/>
      <c r="AL999" s="62"/>
      <c r="AM999" s="62"/>
      <c r="AN999" s="62"/>
      <c r="AO999" s="62"/>
    </row>
    <row r="1000" spans="1:41" ht="12.75" customHeight="1" x14ac:dyDescent="0.2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  <c r="AD1000" s="62"/>
      <c r="AE1000" s="62"/>
      <c r="AF1000" s="62"/>
      <c r="AG1000" s="62"/>
      <c r="AH1000" s="62"/>
      <c r="AI1000" s="62"/>
      <c r="AJ1000" s="62"/>
      <c r="AK1000" s="62"/>
      <c r="AL1000" s="62"/>
      <c r="AM1000" s="62"/>
      <c r="AN1000" s="62"/>
      <c r="AO1000" s="62"/>
    </row>
  </sheetData>
  <mergeCells count="21">
    <mergeCell ref="I18:K18"/>
    <mergeCell ref="I66:K66"/>
    <mergeCell ref="I67:K67"/>
    <mergeCell ref="I38:K38"/>
    <mergeCell ref="I59:K59"/>
    <mergeCell ref="I61:U61"/>
    <mergeCell ref="I37:K37"/>
    <mergeCell ref="I65:K65"/>
    <mergeCell ref="I63:K63"/>
    <mergeCell ref="I64:K64"/>
    <mergeCell ref="I39:K39"/>
    <mergeCell ref="I40:K40"/>
    <mergeCell ref="I2:AE2"/>
    <mergeCell ref="I4:AE4"/>
    <mergeCell ref="I16:K16"/>
    <mergeCell ref="I17:K17"/>
    <mergeCell ref="I11:K11"/>
    <mergeCell ref="I12:K12"/>
    <mergeCell ref="I13:K13"/>
    <mergeCell ref="I14:K14"/>
    <mergeCell ref="I15:K15"/>
  </mergeCells>
  <dataValidations count="1">
    <dataValidation type="list" allowBlank="1" showInputMessage="1" showErrorMessage="1" prompt=" - " sqref="N85:N92 N94">
      <formula1>UNIDADES</formula1>
    </dataValidation>
  </dataValidation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>
      <pane ySplit="2" topLeftCell="A3" activePane="bottomLeft" state="frozen"/>
      <selection pane="bottomLeft" activeCell="B4" sqref="B4"/>
    </sheetView>
  </sheetViews>
  <sheetFormatPr defaultColWidth="11.21875" defaultRowHeight="15" customHeight="1" x14ac:dyDescent="0.2"/>
  <cols>
    <col min="1" max="1" width="3.77734375" customWidth="1"/>
    <col min="2" max="8" width="3.77734375" hidden="1" customWidth="1"/>
    <col min="9" max="31" width="9.109375" customWidth="1"/>
    <col min="32" max="41" width="7.109375" customWidth="1"/>
  </cols>
  <sheetData>
    <row r="1" spans="1:41" ht="39.75" customHeight="1" x14ac:dyDescent="0.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62"/>
      <c r="AH1" s="62"/>
      <c r="AI1" s="62"/>
      <c r="AJ1" s="62"/>
      <c r="AK1" s="62"/>
      <c r="AL1" s="62"/>
      <c r="AM1" s="62"/>
      <c r="AN1" s="62"/>
      <c r="AO1" s="62"/>
    </row>
    <row r="2" spans="1:41" ht="24.75" customHeight="1" x14ac:dyDescent="0.2">
      <c r="A2" s="15"/>
      <c r="B2" s="15"/>
      <c r="C2" s="15"/>
      <c r="D2" s="15"/>
      <c r="E2" s="15"/>
      <c r="F2" s="15"/>
      <c r="G2" s="15"/>
      <c r="H2" s="15"/>
      <c r="I2" s="352" t="s">
        <v>168</v>
      </c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74"/>
      <c r="AF2" s="15"/>
      <c r="AG2" s="62"/>
      <c r="AH2" s="62"/>
      <c r="AI2" s="62"/>
      <c r="AJ2" s="62"/>
      <c r="AK2" s="62"/>
      <c r="AL2" s="62"/>
      <c r="AM2" s="62"/>
      <c r="AN2" s="62"/>
      <c r="AO2" s="62"/>
    </row>
    <row r="3" spans="1:41" ht="19.5" customHeight="1" x14ac:dyDescent="0.2">
      <c r="A3" s="15"/>
      <c r="B3" s="15"/>
      <c r="C3" s="15"/>
      <c r="D3" s="15"/>
      <c r="E3" s="15"/>
      <c r="F3" s="15"/>
      <c r="G3" s="15"/>
      <c r="H3" s="15"/>
      <c r="I3" s="53"/>
      <c r="J3" s="53"/>
      <c r="K3" s="53"/>
      <c r="L3" s="53"/>
      <c r="M3" s="53"/>
      <c r="N3" s="53"/>
      <c r="O3" s="53"/>
      <c r="P3" s="53"/>
      <c r="Q3" s="53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5"/>
      <c r="AG3" s="62"/>
      <c r="AH3" s="62"/>
      <c r="AI3" s="62"/>
      <c r="AJ3" s="62"/>
      <c r="AK3" s="62"/>
      <c r="AL3" s="62"/>
      <c r="AM3" s="62"/>
      <c r="AN3" s="62"/>
      <c r="AO3" s="62"/>
    </row>
    <row r="4" spans="1:41" ht="19.5" customHeight="1" x14ac:dyDescent="0.2">
      <c r="A4" s="15"/>
      <c r="B4" s="15"/>
      <c r="C4" s="15"/>
      <c r="D4" s="15"/>
      <c r="E4" s="15"/>
      <c r="F4" s="15"/>
      <c r="G4" s="15"/>
      <c r="H4" s="15"/>
      <c r="I4" s="361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74"/>
      <c r="AF4" s="15"/>
      <c r="AG4" s="62"/>
      <c r="AH4" s="62"/>
      <c r="AI4" s="62"/>
      <c r="AJ4" s="62"/>
      <c r="AK4" s="62"/>
      <c r="AL4" s="62"/>
      <c r="AM4" s="62"/>
      <c r="AN4" s="62"/>
      <c r="AO4" s="62"/>
    </row>
    <row r="5" spans="1:41" ht="19.5" customHeight="1" x14ac:dyDescent="0.2">
      <c r="A5" s="15"/>
      <c r="B5" s="15"/>
      <c r="C5" s="15"/>
      <c r="D5" s="15"/>
      <c r="E5" s="15"/>
      <c r="F5" s="15"/>
      <c r="G5" s="15"/>
      <c r="H5" s="15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15"/>
      <c r="AG5" s="62"/>
      <c r="AH5" s="62"/>
      <c r="AI5" s="62"/>
      <c r="AJ5" s="62"/>
      <c r="AK5" s="62"/>
      <c r="AL5" s="62"/>
      <c r="AM5" s="62"/>
      <c r="AN5" s="62"/>
      <c r="AO5" s="62"/>
    </row>
    <row r="6" spans="1:41" ht="19.5" customHeight="1" x14ac:dyDescent="0.2">
      <c r="A6" s="15"/>
      <c r="B6" s="15"/>
      <c r="C6" s="15"/>
      <c r="D6" s="15"/>
      <c r="E6" s="15"/>
      <c r="F6" s="15"/>
      <c r="G6" s="15"/>
      <c r="H6" s="15"/>
      <c r="I6" s="53"/>
      <c r="J6" s="58"/>
      <c r="K6" s="53"/>
      <c r="L6" s="53"/>
      <c r="M6" s="53"/>
      <c r="N6" s="53"/>
      <c r="O6" s="147"/>
      <c r="P6" s="58"/>
      <c r="Q6" s="53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5"/>
      <c r="AG6" s="62"/>
      <c r="AH6" s="62"/>
      <c r="AI6" s="62"/>
      <c r="AJ6" s="62"/>
      <c r="AK6" s="62"/>
      <c r="AL6" s="62"/>
      <c r="AM6" s="62"/>
      <c r="AN6" s="62"/>
      <c r="AO6" s="62"/>
    </row>
    <row r="7" spans="1:41" ht="19.5" customHeight="1" x14ac:dyDescent="0.2">
      <c r="A7" s="15"/>
      <c r="B7" s="15"/>
      <c r="C7" s="15"/>
      <c r="D7" s="15"/>
      <c r="E7" s="15"/>
      <c r="F7" s="15"/>
      <c r="G7" s="15"/>
      <c r="H7" s="15"/>
      <c r="I7" s="53"/>
      <c r="J7" s="58"/>
      <c r="K7" s="57"/>
      <c r="L7" s="57"/>
      <c r="M7" s="57"/>
      <c r="N7" s="57"/>
      <c r="O7" s="57"/>
      <c r="P7" s="57"/>
      <c r="Q7" s="57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5"/>
      <c r="AG7" s="62"/>
      <c r="AH7" s="62"/>
      <c r="AI7" s="62"/>
      <c r="AJ7" s="62"/>
      <c r="AK7" s="62"/>
      <c r="AL7" s="62"/>
      <c r="AM7" s="62"/>
      <c r="AN7" s="62"/>
      <c r="AO7" s="62"/>
    </row>
    <row r="8" spans="1:41" ht="19.5" customHeight="1" x14ac:dyDescent="0.2">
      <c r="A8" s="15"/>
      <c r="B8" s="15"/>
      <c r="C8" s="15"/>
      <c r="D8" s="15"/>
      <c r="E8" s="15"/>
      <c r="F8" s="15"/>
      <c r="G8" s="15"/>
      <c r="H8" s="15"/>
      <c r="I8" s="53"/>
      <c r="J8" s="58"/>
      <c r="K8" s="57"/>
      <c r="L8" s="57"/>
      <c r="M8" s="57"/>
      <c r="N8" s="57"/>
      <c r="O8" s="57"/>
      <c r="P8" s="57"/>
      <c r="Q8" s="57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5"/>
      <c r="AG8" s="62"/>
      <c r="AH8" s="62"/>
      <c r="AI8" s="62"/>
      <c r="AJ8" s="62"/>
      <c r="AK8" s="62"/>
      <c r="AL8" s="62"/>
      <c r="AM8" s="62"/>
      <c r="AN8" s="62"/>
      <c r="AO8" s="62"/>
    </row>
    <row r="9" spans="1:41" ht="19.5" customHeight="1" x14ac:dyDescent="0.2">
      <c r="A9" s="15"/>
      <c r="B9" s="15"/>
      <c r="C9" s="15"/>
      <c r="D9" s="15"/>
      <c r="E9" s="15"/>
      <c r="F9" s="15"/>
      <c r="G9" s="15"/>
      <c r="H9" s="15"/>
      <c r="I9" s="53"/>
      <c r="J9" s="58"/>
      <c r="K9" s="57"/>
      <c r="L9" s="57"/>
      <c r="M9" s="57"/>
      <c r="N9" s="57"/>
      <c r="O9" s="57"/>
      <c r="P9" s="57"/>
      <c r="Q9" s="57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5"/>
      <c r="AG9" s="62"/>
      <c r="AH9" s="62"/>
      <c r="AI9" s="62"/>
      <c r="AJ9" s="62"/>
      <c r="AK9" s="62"/>
      <c r="AL9" s="62"/>
      <c r="AM9" s="62"/>
      <c r="AN9" s="62"/>
      <c r="AO9" s="62"/>
    </row>
    <row r="10" spans="1:41" ht="19.5" customHeight="1" x14ac:dyDescent="0.2">
      <c r="A10" s="15"/>
      <c r="B10" s="15"/>
      <c r="C10" s="15"/>
      <c r="D10" s="15"/>
      <c r="E10" s="15"/>
      <c r="F10" s="15"/>
      <c r="G10" s="15"/>
      <c r="H10" s="15"/>
      <c r="I10" s="146"/>
      <c r="J10" s="58"/>
      <c r="K10" s="57"/>
      <c r="L10" s="57"/>
      <c r="M10" s="57"/>
      <c r="N10" s="57"/>
      <c r="O10" s="57"/>
      <c r="P10" s="57"/>
      <c r="Q10" s="57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5"/>
      <c r="AG10" s="62"/>
      <c r="AH10" s="62"/>
      <c r="AI10" s="62"/>
      <c r="AJ10" s="62"/>
      <c r="AK10" s="62"/>
      <c r="AL10" s="62"/>
      <c r="AM10" s="62"/>
      <c r="AN10" s="62"/>
      <c r="AO10" s="62"/>
    </row>
    <row r="11" spans="1:41" ht="19.5" customHeight="1" x14ac:dyDescent="0.2">
      <c r="A11" s="15"/>
      <c r="B11" s="15"/>
      <c r="C11" s="15"/>
      <c r="D11" s="15"/>
      <c r="E11" s="15"/>
      <c r="F11" s="15"/>
      <c r="G11" s="15"/>
      <c r="H11" s="15"/>
      <c r="I11" s="363" t="s">
        <v>141</v>
      </c>
      <c r="J11" s="286"/>
      <c r="K11" s="282"/>
      <c r="L11" s="153" t="s">
        <v>142</v>
      </c>
      <c r="M11" s="153" t="s">
        <v>143</v>
      </c>
      <c r="N11" s="153" t="s">
        <v>144</v>
      </c>
      <c r="O11" s="153" t="s">
        <v>145</v>
      </c>
      <c r="P11" s="153" t="s">
        <v>146</v>
      </c>
      <c r="Q11" s="153" t="s">
        <v>147</v>
      </c>
      <c r="R11" s="153" t="s">
        <v>148</v>
      </c>
      <c r="S11" s="153" t="s">
        <v>149</v>
      </c>
      <c r="T11" s="153" t="s">
        <v>150</v>
      </c>
      <c r="U11" s="153" t="s">
        <v>151</v>
      </c>
      <c r="V11" s="153" t="s">
        <v>152</v>
      </c>
      <c r="W11" s="153" t="s">
        <v>153</v>
      </c>
      <c r="X11" s="153" t="s">
        <v>154</v>
      </c>
      <c r="Y11" s="153" t="s">
        <v>155</v>
      </c>
      <c r="Z11" s="153" t="s">
        <v>156</v>
      </c>
      <c r="AA11" s="153" t="s">
        <v>157</v>
      </c>
      <c r="AB11" s="153" t="s">
        <v>158</v>
      </c>
      <c r="AC11" s="153" t="s">
        <v>159</v>
      </c>
      <c r="AD11" s="153" t="s">
        <v>160</v>
      </c>
      <c r="AE11" s="153" t="s">
        <v>161</v>
      </c>
      <c r="AF11" s="15"/>
      <c r="AG11" s="62"/>
      <c r="AH11" s="62"/>
      <c r="AI11" s="62"/>
      <c r="AJ11" s="62"/>
      <c r="AK11" s="62"/>
      <c r="AL11" s="62"/>
      <c r="AM11" s="62"/>
      <c r="AN11" s="62"/>
      <c r="AO11" s="62"/>
    </row>
    <row r="12" spans="1:41" ht="19.5" customHeight="1" x14ac:dyDescent="0.2">
      <c r="A12" s="15"/>
      <c r="B12" s="15"/>
      <c r="C12" s="15"/>
      <c r="D12" s="15"/>
      <c r="E12" s="15"/>
      <c r="F12" s="15"/>
      <c r="G12" s="15"/>
      <c r="H12" s="15"/>
      <c r="I12" s="364"/>
      <c r="J12" s="312"/>
      <c r="K12" s="358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"/>
      <c r="AG12" s="62"/>
      <c r="AH12" s="62"/>
      <c r="AI12" s="62"/>
      <c r="AJ12" s="62"/>
      <c r="AK12" s="62"/>
      <c r="AL12" s="62"/>
      <c r="AM12" s="62"/>
      <c r="AN12" s="62"/>
      <c r="AO12" s="62"/>
    </row>
    <row r="13" spans="1:41" ht="19.5" customHeight="1" x14ac:dyDescent="0.2">
      <c r="A13" s="15"/>
      <c r="B13" s="15"/>
      <c r="C13" s="15"/>
      <c r="D13" s="15"/>
      <c r="E13" s="15"/>
      <c r="F13" s="15"/>
      <c r="G13" s="15"/>
      <c r="H13" s="15"/>
      <c r="I13" s="356"/>
      <c r="J13" s="298"/>
      <c r="K13" s="274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"/>
      <c r="AG13" s="62"/>
      <c r="AH13" s="62"/>
      <c r="AI13" s="62"/>
      <c r="AJ13" s="62"/>
      <c r="AK13" s="62"/>
      <c r="AL13" s="62"/>
      <c r="AM13" s="62"/>
      <c r="AN13" s="62"/>
      <c r="AO13" s="62"/>
    </row>
    <row r="14" spans="1:41" ht="19.5" customHeight="1" x14ac:dyDescent="0.2">
      <c r="A14" s="15"/>
      <c r="B14" s="15"/>
      <c r="C14" s="15"/>
      <c r="D14" s="15"/>
      <c r="E14" s="15"/>
      <c r="F14" s="15"/>
      <c r="G14" s="15"/>
      <c r="H14" s="15"/>
      <c r="I14" s="356"/>
      <c r="J14" s="298"/>
      <c r="K14" s="274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"/>
      <c r="AG14" s="62"/>
      <c r="AH14" s="62"/>
      <c r="AI14" s="62"/>
      <c r="AJ14" s="62"/>
      <c r="AK14" s="62"/>
      <c r="AL14" s="62"/>
      <c r="AM14" s="62"/>
      <c r="AN14" s="62"/>
      <c r="AO14" s="62"/>
    </row>
    <row r="15" spans="1:41" ht="19.5" customHeight="1" x14ac:dyDescent="0.2">
      <c r="A15" s="15"/>
      <c r="B15" s="15"/>
      <c r="C15" s="15"/>
      <c r="D15" s="15"/>
      <c r="E15" s="15"/>
      <c r="F15" s="15"/>
      <c r="G15" s="15"/>
      <c r="H15" s="15"/>
      <c r="I15" s="356"/>
      <c r="J15" s="298"/>
      <c r="K15" s="274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"/>
      <c r="AG15" s="62"/>
      <c r="AH15" s="62"/>
      <c r="AI15" s="62"/>
      <c r="AJ15" s="62"/>
      <c r="AK15" s="62"/>
      <c r="AL15" s="62"/>
      <c r="AM15" s="62"/>
      <c r="AN15" s="62"/>
      <c r="AO15" s="62"/>
    </row>
    <row r="16" spans="1:41" ht="19.5" customHeight="1" x14ac:dyDescent="0.2">
      <c r="A16" s="15"/>
      <c r="B16" s="15"/>
      <c r="C16" s="15"/>
      <c r="D16" s="15"/>
      <c r="E16" s="15"/>
      <c r="F16" s="15"/>
      <c r="G16" s="15"/>
      <c r="H16" s="15"/>
      <c r="I16" s="362" t="s">
        <v>169</v>
      </c>
      <c r="J16" s="286"/>
      <c r="K16" s="282"/>
      <c r="L16" s="161">
        <f t="shared" ref="L16:AE16" si="0">SUM(L17:L36)</f>
        <v>0</v>
      </c>
      <c r="M16" s="161">
        <f t="shared" si="0"/>
        <v>0</v>
      </c>
      <c r="N16" s="161">
        <f t="shared" si="0"/>
        <v>0</v>
      </c>
      <c r="O16" s="161">
        <f t="shared" si="0"/>
        <v>47.77</v>
      </c>
      <c r="P16" s="161">
        <f t="shared" si="0"/>
        <v>60.01</v>
      </c>
      <c r="Q16" s="161">
        <f t="shared" si="0"/>
        <v>72.38</v>
      </c>
      <c r="R16" s="161">
        <f t="shared" si="0"/>
        <v>84.86</v>
      </c>
      <c r="S16" s="161">
        <f t="shared" si="0"/>
        <v>97.48</v>
      </c>
      <c r="T16" s="161">
        <f t="shared" si="0"/>
        <v>110.22</v>
      </c>
      <c r="U16" s="161">
        <f t="shared" si="0"/>
        <v>123.08</v>
      </c>
      <c r="V16" s="161">
        <f t="shared" si="0"/>
        <v>136.08000000000001</v>
      </c>
      <c r="W16" s="161">
        <f t="shared" si="0"/>
        <v>149.21</v>
      </c>
      <c r="X16" s="161">
        <f t="shared" si="0"/>
        <v>162.46</v>
      </c>
      <c r="Y16" s="161">
        <f t="shared" si="0"/>
        <v>175.85</v>
      </c>
      <c r="Z16" s="161">
        <f t="shared" si="0"/>
        <v>189.38</v>
      </c>
      <c r="AA16" s="161">
        <f t="shared" si="0"/>
        <v>203.03</v>
      </c>
      <c r="AB16" s="161">
        <f t="shared" si="0"/>
        <v>216.83</v>
      </c>
      <c r="AC16" s="161">
        <f t="shared" si="0"/>
        <v>230.76</v>
      </c>
      <c r="AD16" s="161">
        <f t="shared" si="0"/>
        <v>244.83</v>
      </c>
      <c r="AE16" s="161">
        <f t="shared" si="0"/>
        <v>259.05</v>
      </c>
      <c r="AF16" s="15"/>
      <c r="AG16" s="62"/>
      <c r="AH16" s="62"/>
      <c r="AI16" s="62"/>
      <c r="AJ16" s="62"/>
      <c r="AK16" s="62"/>
      <c r="AL16" s="62"/>
      <c r="AM16" s="62"/>
      <c r="AN16" s="62"/>
      <c r="AO16" s="62"/>
    </row>
    <row r="17" spans="1:41" ht="19.5" customHeight="1" x14ac:dyDescent="0.2">
      <c r="A17" s="15"/>
      <c r="B17" s="15"/>
      <c r="C17" s="15"/>
      <c r="D17" s="15"/>
      <c r="E17" s="15"/>
      <c r="F17" s="15"/>
      <c r="G17" s="15"/>
      <c r="H17" s="15"/>
      <c r="I17" s="362" t="str">
        <f>"  Operação "&amp;Proposta!I14&amp;" - "&amp;Proposta!J14</f>
        <v xml:space="preserve">  Operação  - SCR</v>
      </c>
      <c r="J17" s="286"/>
      <c r="K17" s="28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5"/>
      <c r="AG17" s="62"/>
      <c r="AH17" s="62"/>
      <c r="AI17" s="62"/>
      <c r="AJ17" s="62"/>
      <c r="AK17" s="62"/>
      <c r="AL17" s="62"/>
      <c r="AM17" s="62"/>
      <c r="AN17" s="62"/>
      <c r="AO17" s="62"/>
    </row>
    <row r="18" spans="1:41" ht="19.5" customHeight="1" x14ac:dyDescent="0.2">
      <c r="A18" s="15"/>
      <c r="B18" s="15"/>
      <c r="C18" s="15"/>
      <c r="D18" s="15"/>
      <c r="E18" s="15"/>
      <c r="F18" s="15"/>
      <c r="G18" s="15"/>
      <c r="H18" s="15"/>
      <c r="I18" s="362" t="str">
        <f>"  Operação "&amp;Proposta!I15&amp;" - "&amp;Proposta!J15</f>
        <v xml:space="preserve">  Operação 1 - </v>
      </c>
      <c r="J18" s="286"/>
      <c r="K18" s="282"/>
      <c r="L18" s="162">
        <v>0</v>
      </c>
      <c r="M18" s="162">
        <v>0</v>
      </c>
      <c r="N18" s="162">
        <v>0</v>
      </c>
      <c r="O18" s="162">
        <v>47.77</v>
      </c>
      <c r="P18" s="162">
        <v>60.01</v>
      </c>
      <c r="Q18" s="162">
        <v>72.38</v>
      </c>
      <c r="R18" s="162">
        <v>84.86</v>
      </c>
      <c r="S18" s="162">
        <v>97.48</v>
      </c>
      <c r="T18" s="162">
        <v>110.22</v>
      </c>
      <c r="U18" s="162">
        <v>123.08</v>
      </c>
      <c r="V18" s="162">
        <v>136.08000000000001</v>
      </c>
      <c r="W18" s="162">
        <v>149.21</v>
      </c>
      <c r="X18" s="162">
        <v>162.46</v>
      </c>
      <c r="Y18" s="162">
        <v>175.85</v>
      </c>
      <c r="Z18" s="162">
        <v>189.38</v>
      </c>
      <c r="AA18" s="162">
        <v>203.03</v>
      </c>
      <c r="AB18" s="162">
        <v>216.83</v>
      </c>
      <c r="AC18" s="162">
        <v>230.76</v>
      </c>
      <c r="AD18" s="162">
        <v>244.83</v>
      </c>
      <c r="AE18" s="162">
        <v>259.05</v>
      </c>
      <c r="AF18" s="15"/>
      <c r="AG18" s="62"/>
      <c r="AH18" s="62"/>
      <c r="AI18" s="62"/>
      <c r="AJ18" s="62"/>
      <c r="AK18" s="62"/>
      <c r="AL18" s="62"/>
      <c r="AM18" s="62"/>
      <c r="AN18" s="62"/>
      <c r="AO18" s="62"/>
    </row>
    <row r="19" spans="1:41" ht="19.5" customHeight="1" x14ac:dyDescent="0.2">
      <c r="A19" s="15"/>
      <c r="B19" s="15"/>
      <c r="C19" s="15"/>
      <c r="D19" s="15"/>
      <c r="E19" s="15"/>
      <c r="F19" s="15"/>
      <c r="G19" s="15"/>
      <c r="H19" s="15"/>
      <c r="I19" s="163" t="str">
        <f>"  Operação "&amp;Proposta!I16&amp;" - "&amp;Proposta!J16</f>
        <v xml:space="preserve">  Operação 2 - </v>
      </c>
      <c r="J19" s="164"/>
      <c r="K19" s="165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5"/>
      <c r="AG19" s="62"/>
      <c r="AH19" s="62"/>
      <c r="AI19" s="62"/>
      <c r="AJ19" s="62"/>
      <c r="AK19" s="62"/>
      <c r="AL19" s="62"/>
      <c r="AM19" s="62"/>
      <c r="AN19" s="62"/>
      <c r="AO19" s="62"/>
    </row>
    <row r="20" spans="1:41" ht="19.5" customHeight="1" x14ac:dyDescent="0.2">
      <c r="A20" s="15"/>
      <c r="B20" s="15"/>
      <c r="C20" s="15"/>
      <c r="D20" s="15"/>
      <c r="E20" s="15"/>
      <c r="F20" s="15"/>
      <c r="G20" s="15"/>
      <c r="H20" s="15"/>
      <c r="I20" s="163" t="str">
        <f>"  Operação "&amp;Proposta!I17&amp;" - "&amp;Proposta!J17</f>
        <v xml:space="preserve">  Operação 3 - </v>
      </c>
      <c r="J20" s="164"/>
      <c r="K20" s="165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5"/>
      <c r="AG20" s="62"/>
      <c r="AH20" s="62"/>
      <c r="AI20" s="62"/>
      <c r="AJ20" s="62"/>
      <c r="AK20" s="62"/>
      <c r="AL20" s="62"/>
      <c r="AM20" s="62"/>
      <c r="AN20" s="62"/>
      <c r="AO20" s="62"/>
    </row>
    <row r="21" spans="1:41" ht="19.5" customHeight="1" x14ac:dyDescent="0.2">
      <c r="A21" s="15"/>
      <c r="B21" s="15"/>
      <c r="C21" s="15"/>
      <c r="D21" s="15"/>
      <c r="E21" s="15"/>
      <c r="F21" s="15"/>
      <c r="G21" s="15"/>
      <c r="H21" s="15"/>
      <c r="I21" s="163" t="str">
        <f>"  Operação "&amp;Proposta!I18&amp;" - "&amp;Proposta!J18</f>
        <v xml:space="preserve">  Operação 4 - </v>
      </c>
      <c r="J21" s="164"/>
      <c r="K21" s="165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5"/>
      <c r="AG21" s="62"/>
      <c r="AH21" s="62"/>
      <c r="AI21" s="62"/>
      <c r="AJ21" s="62"/>
      <c r="AK21" s="62"/>
      <c r="AL21" s="62"/>
      <c r="AM21" s="62"/>
      <c r="AN21" s="62"/>
      <c r="AO21" s="62"/>
    </row>
    <row r="22" spans="1:41" ht="19.5" customHeight="1" x14ac:dyDescent="0.2">
      <c r="A22" s="15"/>
      <c r="B22" s="15"/>
      <c r="C22" s="15"/>
      <c r="D22" s="15"/>
      <c r="E22" s="15"/>
      <c r="F22" s="15"/>
      <c r="G22" s="15"/>
      <c r="H22" s="15"/>
      <c r="I22" s="163" t="str">
        <f>"  Operação "&amp;Proposta!I19&amp;" - "&amp;Proposta!J19</f>
        <v xml:space="preserve">  Operação 5 - ,</v>
      </c>
      <c r="J22" s="164"/>
      <c r="K22" s="165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5"/>
      <c r="AG22" s="62"/>
      <c r="AH22" s="62"/>
      <c r="AI22" s="62"/>
      <c r="AJ22" s="62"/>
      <c r="AK22" s="62"/>
      <c r="AL22" s="62"/>
      <c r="AM22" s="62"/>
      <c r="AN22" s="62"/>
      <c r="AO22" s="62"/>
    </row>
    <row r="23" spans="1:41" ht="19.5" customHeight="1" x14ac:dyDescent="0.2">
      <c r="A23" s="15"/>
      <c r="B23" s="15"/>
      <c r="C23" s="15"/>
      <c r="D23" s="15"/>
      <c r="E23" s="15"/>
      <c r="F23" s="15"/>
      <c r="G23" s="15"/>
      <c r="H23" s="15"/>
      <c r="I23" s="163" t="str">
        <f>"  Operação "&amp;Proposta!I20&amp;" - "&amp;Proposta!J20</f>
        <v xml:space="preserve">  Operação 6 - </v>
      </c>
      <c r="J23" s="164"/>
      <c r="K23" s="165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5"/>
      <c r="AG23" s="62"/>
      <c r="AH23" s="62"/>
      <c r="AI23" s="62"/>
      <c r="AJ23" s="62"/>
      <c r="AK23" s="62"/>
      <c r="AL23" s="62"/>
      <c r="AM23" s="62"/>
      <c r="AN23" s="62"/>
      <c r="AO23" s="62"/>
    </row>
    <row r="24" spans="1:41" ht="19.5" customHeight="1" x14ac:dyDescent="0.2">
      <c r="A24" s="15"/>
      <c r="B24" s="15"/>
      <c r="C24" s="15"/>
      <c r="D24" s="15"/>
      <c r="E24" s="15"/>
      <c r="F24" s="15"/>
      <c r="G24" s="15"/>
      <c r="H24" s="15"/>
      <c r="I24" s="163" t="str">
        <f>"  Operação "&amp;Proposta!I21&amp;" - "&amp;Proposta!J21</f>
        <v xml:space="preserve">  Operação 7 - </v>
      </c>
      <c r="J24" s="164"/>
      <c r="K24" s="165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5"/>
      <c r="AG24" s="62"/>
      <c r="AH24" s="62"/>
      <c r="AI24" s="62"/>
      <c r="AJ24" s="62"/>
      <c r="AK24" s="62"/>
      <c r="AL24" s="62"/>
      <c r="AM24" s="62"/>
      <c r="AN24" s="62"/>
      <c r="AO24" s="62"/>
    </row>
    <row r="25" spans="1:41" ht="19.5" customHeight="1" x14ac:dyDescent="0.2">
      <c r="A25" s="15"/>
      <c r="B25" s="15"/>
      <c r="C25" s="15"/>
      <c r="D25" s="15"/>
      <c r="E25" s="15"/>
      <c r="F25" s="15"/>
      <c r="G25" s="15"/>
      <c r="H25" s="15"/>
      <c r="I25" s="163" t="str">
        <f>"  Operação "&amp;Proposta!I22&amp;" - "&amp;Proposta!J22</f>
        <v xml:space="preserve">  Operação 8 - </v>
      </c>
      <c r="J25" s="164"/>
      <c r="K25" s="165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5"/>
      <c r="AG25" s="62"/>
      <c r="AH25" s="62"/>
      <c r="AI25" s="62"/>
      <c r="AJ25" s="62"/>
      <c r="AK25" s="62"/>
      <c r="AL25" s="62"/>
      <c r="AM25" s="62"/>
      <c r="AN25" s="62"/>
      <c r="AO25" s="62"/>
    </row>
    <row r="26" spans="1:41" ht="19.5" customHeight="1" x14ac:dyDescent="0.2">
      <c r="A26" s="15"/>
      <c r="B26" s="15"/>
      <c r="C26" s="15"/>
      <c r="D26" s="15"/>
      <c r="E26" s="15"/>
      <c r="F26" s="15"/>
      <c r="G26" s="15"/>
      <c r="H26" s="15"/>
      <c r="I26" s="166" t="str">
        <f>"  Operação "&amp;Proposta!I23&amp;" - "&amp;Proposta!J23</f>
        <v xml:space="preserve">  Operação 9 - </v>
      </c>
      <c r="J26" s="167"/>
      <c r="K26" s="165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5"/>
      <c r="AG26" s="62"/>
      <c r="AH26" s="62"/>
      <c r="AI26" s="62"/>
      <c r="AJ26" s="62"/>
      <c r="AK26" s="62"/>
      <c r="AL26" s="62"/>
      <c r="AM26" s="62"/>
      <c r="AN26" s="62"/>
      <c r="AO26" s="62"/>
    </row>
    <row r="27" spans="1:41" ht="19.5" customHeight="1" x14ac:dyDescent="0.2">
      <c r="A27" s="15"/>
      <c r="B27" s="15"/>
      <c r="C27" s="15"/>
      <c r="D27" s="15"/>
      <c r="E27" s="15"/>
      <c r="F27" s="15"/>
      <c r="G27" s="15"/>
      <c r="H27" s="15"/>
      <c r="I27" s="166" t="str">
        <f>"  Operação "&amp;Proposta!I24&amp;" - "&amp;Proposta!J24</f>
        <v xml:space="preserve">  Operação 10 - </v>
      </c>
      <c r="J27" s="167"/>
      <c r="K27" s="165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5"/>
      <c r="AG27" s="62"/>
      <c r="AH27" s="62"/>
      <c r="AI27" s="62"/>
      <c r="AJ27" s="62"/>
      <c r="AK27" s="62"/>
      <c r="AL27" s="62"/>
      <c r="AM27" s="62"/>
      <c r="AN27" s="62"/>
      <c r="AO27" s="62"/>
    </row>
    <row r="28" spans="1:41" ht="19.5" customHeight="1" x14ac:dyDescent="0.2">
      <c r="A28" s="15"/>
      <c r="B28" s="15"/>
      <c r="C28" s="15"/>
      <c r="D28" s="15"/>
      <c r="E28" s="15"/>
      <c r="F28" s="15"/>
      <c r="G28" s="15"/>
      <c r="H28" s="15"/>
      <c r="I28" s="166" t="str">
        <f>"  Operação "&amp;Proposta!I25&amp;" - "&amp;Proposta!J25</f>
        <v xml:space="preserve">  Operação 11 - </v>
      </c>
      <c r="J28" s="167"/>
      <c r="K28" s="165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5"/>
      <c r="AG28" s="62"/>
      <c r="AH28" s="62"/>
      <c r="AI28" s="62"/>
      <c r="AJ28" s="62"/>
      <c r="AK28" s="62"/>
      <c r="AL28" s="62"/>
      <c r="AM28" s="62"/>
      <c r="AN28" s="62"/>
      <c r="AO28" s="62"/>
    </row>
    <row r="29" spans="1:41" ht="19.5" customHeight="1" x14ac:dyDescent="0.2">
      <c r="A29" s="15"/>
      <c r="B29" s="15"/>
      <c r="C29" s="15"/>
      <c r="D29" s="15"/>
      <c r="E29" s="15"/>
      <c r="F29" s="15"/>
      <c r="G29" s="15"/>
      <c r="H29" s="15"/>
      <c r="I29" s="166" t="str">
        <f>"  Operação "&amp;Proposta!I26&amp;" - "&amp;Proposta!J26</f>
        <v xml:space="preserve">  Operação 12 - </v>
      </c>
      <c r="J29" s="167"/>
      <c r="K29" s="165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5"/>
      <c r="AG29" s="62"/>
      <c r="AH29" s="62"/>
      <c r="AI29" s="62"/>
      <c r="AJ29" s="62"/>
      <c r="AK29" s="62"/>
      <c r="AL29" s="62"/>
      <c r="AM29" s="62"/>
      <c r="AN29" s="62"/>
      <c r="AO29" s="62"/>
    </row>
    <row r="30" spans="1:41" ht="19.5" customHeight="1" x14ac:dyDescent="0.2">
      <c r="A30" s="15"/>
      <c r="B30" s="15"/>
      <c r="C30" s="15"/>
      <c r="D30" s="15"/>
      <c r="E30" s="15"/>
      <c r="F30" s="15"/>
      <c r="G30" s="15"/>
      <c r="H30" s="15"/>
      <c r="I30" s="166" t="str">
        <f>"  Operação "&amp;Proposta!I27&amp;" - "&amp;Proposta!J27</f>
        <v xml:space="preserve">  Operação 13 - </v>
      </c>
      <c r="J30" s="167"/>
      <c r="K30" s="165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5"/>
      <c r="AG30" s="62"/>
      <c r="AH30" s="62"/>
      <c r="AI30" s="62"/>
      <c r="AJ30" s="62"/>
      <c r="AK30" s="62"/>
      <c r="AL30" s="62"/>
      <c r="AM30" s="62"/>
      <c r="AN30" s="62"/>
      <c r="AO30" s="62"/>
    </row>
    <row r="31" spans="1:41" ht="19.5" customHeight="1" x14ac:dyDescent="0.2">
      <c r="A31" s="15"/>
      <c r="B31" s="15"/>
      <c r="C31" s="15"/>
      <c r="D31" s="15"/>
      <c r="E31" s="15"/>
      <c r="F31" s="15"/>
      <c r="G31" s="15"/>
      <c r="H31" s="15"/>
      <c r="I31" s="166" t="str">
        <f>"  Operação "&amp;Proposta!I28&amp;" - "&amp;Proposta!J28</f>
        <v xml:space="preserve">  Operação 14 - </v>
      </c>
      <c r="J31" s="167"/>
      <c r="K31" s="165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5"/>
      <c r="AG31" s="62"/>
      <c r="AH31" s="62"/>
      <c r="AI31" s="62"/>
      <c r="AJ31" s="62"/>
      <c r="AK31" s="62"/>
      <c r="AL31" s="62"/>
      <c r="AM31" s="62"/>
      <c r="AN31" s="62"/>
      <c r="AO31" s="62"/>
    </row>
    <row r="32" spans="1:41" ht="19.5" customHeight="1" x14ac:dyDescent="0.2">
      <c r="A32" s="15"/>
      <c r="B32" s="15"/>
      <c r="C32" s="15"/>
      <c r="D32" s="15"/>
      <c r="E32" s="15"/>
      <c r="F32" s="15"/>
      <c r="G32" s="15"/>
      <c r="H32" s="15"/>
      <c r="I32" s="166" t="str">
        <f>"  Operação "&amp;Proposta!I29&amp;" - "&amp;Proposta!J29</f>
        <v xml:space="preserve">  Operação 15 - </v>
      </c>
      <c r="J32" s="167"/>
      <c r="K32" s="165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5"/>
      <c r="AG32" s="62"/>
      <c r="AH32" s="62"/>
      <c r="AI32" s="62"/>
      <c r="AJ32" s="62"/>
      <c r="AK32" s="62"/>
      <c r="AL32" s="62"/>
      <c r="AM32" s="62"/>
      <c r="AN32" s="62"/>
      <c r="AO32" s="62"/>
    </row>
    <row r="33" spans="1:41" ht="19.5" customHeight="1" x14ac:dyDescent="0.2">
      <c r="A33" s="15"/>
      <c r="B33" s="15"/>
      <c r="C33" s="15"/>
      <c r="D33" s="15"/>
      <c r="E33" s="15"/>
      <c r="F33" s="15"/>
      <c r="G33" s="15"/>
      <c r="H33" s="15"/>
      <c r="I33" s="166" t="str">
        <f>"  Operação "&amp;Proposta!I30&amp;" - "&amp;Proposta!J30</f>
        <v xml:space="preserve">  Operação 16 - </v>
      </c>
      <c r="J33" s="167"/>
      <c r="K33" s="165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5"/>
      <c r="AG33" s="62"/>
      <c r="AH33" s="62"/>
      <c r="AI33" s="62"/>
      <c r="AJ33" s="62"/>
      <c r="AK33" s="62"/>
      <c r="AL33" s="62"/>
      <c r="AM33" s="62"/>
      <c r="AN33" s="62"/>
      <c r="AO33" s="62"/>
    </row>
    <row r="34" spans="1:41" ht="19.5" customHeight="1" x14ac:dyDescent="0.2">
      <c r="A34" s="15"/>
      <c r="B34" s="15"/>
      <c r="C34" s="15"/>
      <c r="D34" s="15"/>
      <c r="E34" s="15"/>
      <c r="F34" s="15"/>
      <c r="G34" s="15"/>
      <c r="H34" s="15"/>
      <c r="I34" s="166" t="str">
        <f>"  Operação "&amp;Proposta!I31&amp;" - "&amp;Proposta!J31</f>
        <v xml:space="preserve">  Operação 17 - </v>
      </c>
      <c r="J34" s="167"/>
      <c r="K34" s="165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5"/>
      <c r="AG34" s="62"/>
      <c r="AH34" s="62"/>
      <c r="AI34" s="62"/>
      <c r="AJ34" s="62"/>
      <c r="AK34" s="62"/>
      <c r="AL34" s="62"/>
      <c r="AM34" s="62"/>
      <c r="AN34" s="62"/>
      <c r="AO34" s="62"/>
    </row>
    <row r="35" spans="1:41" ht="19.5" customHeight="1" x14ac:dyDescent="0.2">
      <c r="A35" s="15"/>
      <c r="B35" s="15"/>
      <c r="C35" s="15"/>
      <c r="D35" s="15"/>
      <c r="E35" s="15"/>
      <c r="F35" s="15"/>
      <c r="G35" s="15"/>
      <c r="H35" s="15"/>
      <c r="I35" s="166" t="str">
        <f>"  Operação "&amp;Proposta!I32&amp;" - "&amp;Proposta!J32</f>
        <v xml:space="preserve">  Operação 18 - </v>
      </c>
      <c r="J35" s="167"/>
      <c r="K35" s="165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5"/>
      <c r="AG35" s="62"/>
      <c r="AH35" s="62"/>
      <c r="AI35" s="62"/>
      <c r="AJ35" s="62"/>
      <c r="AK35" s="62"/>
      <c r="AL35" s="62"/>
      <c r="AM35" s="62"/>
      <c r="AN35" s="62"/>
      <c r="AO35" s="62"/>
    </row>
    <row r="36" spans="1:41" ht="19.5" customHeight="1" x14ac:dyDescent="0.2">
      <c r="A36" s="15"/>
      <c r="B36" s="15"/>
      <c r="C36" s="15"/>
      <c r="D36" s="15"/>
      <c r="E36" s="15"/>
      <c r="F36" s="15"/>
      <c r="G36" s="15"/>
      <c r="H36" s="15"/>
      <c r="I36" s="166" t="str">
        <f>"  Operação "&amp;Proposta!I33&amp;" - "&amp;Proposta!J33</f>
        <v xml:space="preserve">  Operação 19 - </v>
      </c>
      <c r="J36" s="167"/>
      <c r="K36" s="165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5"/>
      <c r="AG36" s="62"/>
      <c r="AH36" s="62"/>
      <c r="AI36" s="62"/>
      <c r="AJ36" s="62"/>
      <c r="AK36" s="62"/>
      <c r="AL36" s="62"/>
      <c r="AM36" s="62"/>
      <c r="AN36" s="62"/>
      <c r="AO36" s="62"/>
    </row>
    <row r="37" spans="1:41" ht="19.5" customHeight="1" x14ac:dyDescent="0.2">
      <c r="A37" s="15"/>
      <c r="B37" s="15"/>
      <c r="C37" s="15"/>
      <c r="D37" s="15"/>
      <c r="E37" s="15"/>
      <c r="F37" s="15"/>
      <c r="G37" s="15"/>
      <c r="H37" s="15"/>
      <c r="I37" s="356"/>
      <c r="J37" s="298"/>
      <c r="K37" s="274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"/>
      <c r="AG37" s="62"/>
      <c r="AH37" s="62"/>
      <c r="AI37" s="62"/>
      <c r="AJ37" s="62"/>
      <c r="AK37" s="62"/>
      <c r="AL37" s="62"/>
      <c r="AM37" s="62"/>
      <c r="AN37" s="62"/>
      <c r="AO37" s="62"/>
    </row>
    <row r="38" spans="1:41" ht="19.5" customHeight="1" x14ac:dyDescent="0.2">
      <c r="A38" s="15"/>
      <c r="B38" s="15"/>
      <c r="C38" s="15"/>
      <c r="D38" s="15"/>
      <c r="E38" s="15"/>
      <c r="F38" s="15"/>
      <c r="G38" s="15"/>
      <c r="H38" s="15"/>
      <c r="I38" s="362" t="s">
        <v>170</v>
      </c>
      <c r="J38" s="286"/>
      <c r="K38" s="282"/>
      <c r="L38" s="161">
        <f t="shared" ref="L38:AE38" si="1">SUM(L39:L58)</f>
        <v>0</v>
      </c>
      <c r="M38" s="161">
        <f t="shared" si="1"/>
        <v>0</v>
      </c>
      <c r="N38" s="161">
        <f t="shared" si="1"/>
        <v>0</v>
      </c>
      <c r="O38" s="161">
        <f t="shared" si="1"/>
        <v>1176.47</v>
      </c>
      <c r="P38" s="161">
        <f t="shared" si="1"/>
        <v>1176.47</v>
      </c>
      <c r="Q38" s="161">
        <f t="shared" si="1"/>
        <v>1176.47</v>
      </c>
      <c r="R38" s="161">
        <f t="shared" si="1"/>
        <v>1176.47</v>
      </c>
      <c r="S38" s="161">
        <f t="shared" si="1"/>
        <v>1176.47</v>
      </c>
      <c r="T38" s="161">
        <f t="shared" si="1"/>
        <v>1176.47</v>
      </c>
      <c r="U38" s="161">
        <f t="shared" si="1"/>
        <v>1176.47</v>
      </c>
      <c r="V38" s="161">
        <f t="shared" si="1"/>
        <v>1176.47</v>
      </c>
      <c r="W38" s="161">
        <f t="shared" si="1"/>
        <v>1176.47</v>
      </c>
      <c r="X38" s="161">
        <f t="shared" si="1"/>
        <v>1176.47</v>
      </c>
      <c r="Y38" s="161">
        <f t="shared" si="1"/>
        <v>1176.47</v>
      </c>
      <c r="Z38" s="161">
        <f t="shared" si="1"/>
        <v>1176.47</v>
      </c>
      <c r="AA38" s="161">
        <f t="shared" si="1"/>
        <v>1176.47</v>
      </c>
      <c r="AB38" s="161">
        <f t="shared" si="1"/>
        <v>1176.47</v>
      </c>
      <c r="AC38" s="161">
        <f t="shared" si="1"/>
        <v>1176.47</v>
      </c>
      <c r="AD38" s="161">
        <f t="shared" si="1"/>
        <v>1176.47</v>
      </c>
      <c r="AE38" s="161">
        <f t="shared" si="1"/>
        <v>1176.48</v>
      </c>
      <c r="AF38" s="15"/>
      <c r="AG38" s="62"/>
      <c r="AH38" s="62"/>
      <c r="AI38" s="62"/>
      <c r="AJ38" s="62"/>
      <c r="AK38" s="62"/>
      <c r="AL38" s="62"/>
      <c r="AM38" s="62"/>
      <c r="AN38" s="62"/>
      <c r="AO38" s="62"/>
    </row>
    <row r="39" spans="1:41" ht="19.5" customHeight="1" x14ac:dyDescent="0.2">
      <c r="A39" s="15"/>
      <c r="B39" s="15"/>
      <c r="C39" s="15"/>
      <c r="D39" s="15"/>
      <c r="E39" s="15"/>
      <c r="F39" s="15"/>
      <c r="G39" s="15"/>
      <c r="H39" s="15"/>
      <c r="I39" s="362" t="str">
        <f>"  Amort. Operação "&amp;Proposta!I14&amp;" - "&amp;Proposta!J14</f>
        <v xml:space="preserve">  Amort. Operação  - SCR</v>
      </c>
      <c r="J39" s="286"/>
      <c r="K39" s="28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5"/>
      <c r="AG39" s="62"/>
      <c r="AH39" s="62"/>
      <c r="AI39" s="62"/>
      <c r="AJ39" s="62"/>
      <c r="AK39" s="62"/>
      <c r="AL39" s="62"/>
      <c r="AM39" s="62"/>
      <c r="AN39" s="62"/>
      <c r="AO39" s="62"/>
    </row>
    <row r="40" spans="1:41" ht="19.5" customHeight="1" x14ac:dyDescent="0.2">
      <c r="A40" s="15"/>
      <c r="B40" s="15"/>
      <c r="C40" s="15"/>
      <c r="D40" s="15"/>
      <c r="E40" s="15"/>
      <c r="F40" s="15"/>
      <c r="G40" s="15"/>
      <c r="H40" s="15"/>
      <c r="I40" s="362" t="str">
        <f>"  Amort. Operação "&amp;Proposta!I15&amp;" - "&amp;Proposta!J15</f>
        <v xml:space="preserve">  Amort. Operação 1 - </v>
      </c>
      <c r="J40" s="286"/>
      <c r="K40" s="282"/>
      <c r="L40" s="162">
        <v>0</v>
      </c>
      <c r="M40" s="162">
        <v>0</v>
      </c>
      <c r="N40" s="162">
        <v>0</v>
      </c>
      <c r="O40" s="162">
        <v>1176.47</v>
      </c>
      <c r="P40" s="162">
        <v>1176.47</v>
      </c>
      <c r="Q40" s="162">
        <v>1176.47</v>
      </c>
      <c r="R40" s="162">
        <v>1176.47</v>
      </c>
      <c r="S40" s="162">
        <v>1176.47</v>
      </c>
      <c r="T40" s="162">
        <v>1176.47</v>
      </c>
      <c r="U40" s="162">
        <v>1176.47</v>
      </c>
      <c r="V40" s="162">
        <v>1176.47</v>
      </c>
      <c r="W40" s="162">
        <v>1176.47</v>
      </c>
      <c r="X40" s="162">
        <v>1176.47</v>
      </c>
      <c r="Y40" s="162">
        <v>1176.47</v>
      </c>
      <c r="Z40" s="162">
        <v>1176.47</v>
      </c>
      <c r="AA40" s="162">
        <v>1176.47</v>
      </c>
      <c r="AB40" s="162">
        <v>1176.47</v>
      </c>
      <c r="AC40" s="162">
        <v>1176.47</v>
      </c>
      <c r="AD40" s="162">
        <v>1176.47</v>
      </c>
      <c r="AE40" s="162">
        <v>1176.48</v>
      </c>
      <c r="AF40" s="15"/>
      <c r="AG40" s="62"/>
      <c r="AH40" s="62"/>
      <c r="AI40" s="62"/>
      <c r="AJ40" s="62"/>
      <c r="AK40" s="62"/>
      <c r="AL40" s="62"/>
      <c r="AM40" s="62"/>
      <c r="AN40" s="62"/>
      <c r="AO40" s="62"/>
    </row>
    <row r="41" spans="1:41" ht="19.5" customHeight="1" x14ac:dyDescent="0.2">
      <c r="A41" s="15"/>
      <c r="B41" s="15"/>
      <c r="C41" s="15"/>
      <c r="D41" s="15"/>
      <c r="E41" s="15"/>
      <c r="F41" s="15"/>
      <c r="G41" s="15"/>
      <c r="H41" s="15"/>
      <c r="I41" s="166" t="str">
        <f>"  Amort. Operação "&amp;Proposta!I16&amp;" - "&amp;Proposta!J16</f>
        <v xml:space="preserve">  Amort. Operação 2 - </v>
      </c>
      <c r="J41" s="166"/>
      <c r="K41" s="166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5"/>
      <c r="AG41" s="62"/>
      <c r="AH41" s="62"/>
      <c r="AI41" s="62"/>
      <c r="AJ41" s="62"/>
      <c r="AK41" s="62"/>
      <c r="AL41" s="62"/>
      <c r="AM41" s="62"/>
      <c r="AN41" s="62"/>
      <c r="AO41" s="62"/>
    </row>
    <row r="42" spans="1:41" ht="19.5" customHeight="1" x14ac:dyDescent="0.2">
      <c r="A42" s="15"/>
      <c r="B42" s="15"/>
      <c r="C42" s="15"/>
      <c r="D42" s="15"/>
      <c r="E42" s="15"/>
      <c r="F42" s="15"/>
      <c r="G42" s="15"/>
      <c r="H42" s="15"/>
      <c r="I42" s="166" t="str">
        <f>"  Amort. Operação "&amp;Proposta!I17&amp;" - "&amp;Proposta!J17</f>
        <v xml:space="preserve">  Amort. Operação 3 - </v>
      </c>
      <c r="J42" s="163"/>
      <c r="K42" s="165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5"/>
      <c r="AG42" s="62"/>
      <c r="AH42" s="62"/>
      <c r="AI42" s="62"/>
      <c r="AJ42" s="62"/>
      <c r="AK42" s="62"/>
      <c r="AL42" s="62"/>
      <c r="AM42" s="62"/>
      <c r="AN42" s="62"/>
      <c r="AO42" s="62"/>
    </row>
    <row r="43" spans="1:41" ht="19.5" customHeight="1" x14ac:dyDescent="0.2">
      <c r="A43" s="15"/>
      <c r="B43" s="15"/>
      <c r="C43" s="15"/>
      <c r="D43" s="15"/>
      <c r="E43" s="15"/>
      <c r="F43" s="15"/>
      <c r="G43" s="15"/>
      <c r="H43" s="15"/>
      <c r="I43" s="166" t="str">
        <f>"  Amort. Operação "&amp;Proposta!I18&amp;" - "&amp;Proposta!J18</f>
        <v xml:space="preserve">  Amort. Operação 4 - </v>
      </c>
      <c r="J43" s="163"/>
      <c r="K43" s="165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5"/>
      <c r="AG43" s="62"/>
      <c r="AH43" s="62"/>
      <c r="AI43" s="62"/>
      <c r="AJ43" s="62"/>
      <c r="AK43" s="62"/>
      <c r="AL43" s="62"/>
      <c r="AM43" s="62"/>
      <c r="AN43" s="62"/>
      <c r="AO43" s="62"/>
    </row>
    <row r="44" spans="1:41" ht="19.5" customHeight="1" x14ac:dyDescent="0.2">
      <c r="A44" s="15"/>
      <c r="B44" s="15"/>
      <c r="C44" s="15"/>
      <c r="D44" s="15"/>
      <c r="E44" s="15"/>
      <c r="F44" s="15"/>
      <c r="G44" s="15"/>
      <c r="H44" s="15"/>
      <c r="I44" s="166" t="str">
        <f>"  Amort. Operação "&amp;Proposta!I19&amp;" - "&amp;Proposta!J19</f>
        <v xml:space="preserve">  Amort. Operação 5 - ,</v>
      </c>
      <c r="J44" s="163"/>
      <c r="K44" s="165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5"/>
      <c r="AG44" s="62"/>
      <c r="AH44" s="62"/>
      <c r="AI44" s="62"/>
      <c r="AJ44" s="62"/>
      <c r="AK44" s="62"/>
      <c r="AL44" s="62"/>
      <c r="AM44" s="62"/>
      <c r="AN44" s="62"/>
      <c r="AO44" s="62"/>
    </row>
    <row r="45" spans="1:41" ht="19.5" customHeight="1" x14ac:dyDescent="0.2">
      <c r="A45" s="15"/>
      <c r="B45" s="15"/>
      <c r="C45" s="15"/>
      <c r="D45" s="15"/>
      <c r="E45" s="15"/>
      <c r="F45" s="15"/>
      <c r="G45" s="15"/>
      <c r="H45" s="15"/>
      <c r="I45" s="166" t="str">
        <f>"  Amort. Operação "&amp;Proposta!I20&amp;" - "&amp;Proposta!J20</f>
        <v xml:space="preserve">  Amort. Operação 6 - </v>
      </c>
      <c r="J45" s="163"/>
      <c r="K45" s="165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5"/>
      <c r="AG45" s="62"/>
      <c r="AH45" s="62"/>
      <c r="AI45" s="62"/>
      <c r="AJ45" s="62"/>
      <c r="AK45" s="62"/>
      <c r="AL45" s="62"/>
      <c r="AM45" s="62"/>
      <c r="AN45" s="62"/>
      <c r="AO45" s="62"/>
    </row>
    <row r="46" spans="1:41" ht="19.5" customHeight="1" x14ac:dyDescent="0.2">
      <c r="A46" s="15"/>
      <c r="B46" s="15"/>
      <c r="C46" s="15"/>
      <c r="D46" s="15"/>
      <c r="E46" s="15"/>
      <c r="F46" s="15"/>
      <c r="G46" s="15"/>
      <c r="H46" s="15"/>
      <c r="I46" s="166" t="str">
        <f>"  Amort. Operação "&amp;Proposta!I21&amp;" - "&amp;Proposta!J21</f>
        <v xml:space="preserve">  Amort. Operação 7 - </v>
      </c>
      <c r="J46" s="163"/>
      <c r="K46" s="165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5"/>
      <c r="AG46" s="62"/>
      <c r="AH46" s="62"/>
      <c r="AI46" s="62"/>
      <c r="AJ46" s="62"/>
      <c r="AK46" s="62"/>
      <c r="AL46" s="62"/>
      <c r="AM46" s="62"/>
      <c r="AN46" s="62"/>
      <c r="AO46" s="62"/>
    </row>
    <row r="47" spans="1:41" ht="19.5" customHeight="1" x14ac:dyDescent="0.2">
      <c r="A47" s="15"/>
      <c r="B47" s="15"/>
      <c r="C47" s="15"/>
      <c r="D47" s="15"/>
      <c r="E47" s="15"/>
      <c r="F47" s="15"/>
      <c r="G47" s="15"/>
      <c r="H47" s="15"/>
      <c r="I47" s="166" t="str">
        <f>"  Amort. Operação "&amp;Proposta!I22&amp;" - "&amp;Proposta!J22</f>
        <v xml:space="preserve">  Amort. Operação 8 - </v>
      </c>
      <c r="J47" s="163"/>
      <c r="K47" s="165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5"/>
      <c r="AG47" s="62"/>
      <c r="AH47" s="62"/>
      <c r="AI47" s="62"/>
      <c r="AJ47" s="62"/>
      <c r="AK47" s="62"/>
      <c r="AL47" s="62"/>
      <c r="AM47" s="62"/>
      <c r="AN47" s="62"/>
      <c r="AO47" s="62"/>
    </row>
    <row r="48" spans="1:41" ht="19.5" customHeight="1" x14ac:dyDescent="0.2">
      <c r="A48" s="15"/>
      <c r="B48" s="15"/>
      <c r="C48" s="15"/>
      <c r="D48" s="15"/>
      <c r="E48" s="15"/>
      <c r="F48" s="15"/>
      <c r="G48" s="15"/>
      <c r="H48" s="15"/>
      <c r="I48" s="166" t="str">
        <f>"  Amort. Operação "&amp;Proposta!I23&amp;" - "&amp;Proposta!J23</f>
        <v xml:space="preserve">  Amort. Operação 9 - </v>
      </c>
      <c r="J48" s="163"/>
      <c r="K48" s="165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5"/>
      <c r="AG48" s="62"/>
      <c r="AH48" s="62"/>
      <c r="AI48" s="62"/>
      <c r="AJ48" s="62"/>
      <c r="AK48" s="62"/>
      <c r="AL48" s="62"/>
      <c r="AM48" s="62"/>
      <c r="AN48" s="62"/>
      <c r="AO48" s="62"/>
    </row>
    <row r="49" spans="1:41" ht="19.5" customHeight="1" x14ac:dyDescent="0.2">
      <c r="A49" s="15"/>
      <c r="B49" s="15"/>
      <c r="C49" s="15"/>
      <c r="D49" s="15"/>
      <c r="E49" s="15"/>
      <c r="F49" s="15"/>
      <c r="G49" s="15"/>
      <c r="H49" s="15"/>
      <c r="I49" s="166" t="str">
        <f>"  Amort. Operação "&amp;Proposta!I24&amp;" - "&amp;Proposta!J24</f>
        <v xml:space="preserve">  Amort. Operação 10 - </v>
      </c>
      <c r="J49" s="163"/>
      <c r="K49" s="165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5"/>
      <c r="AG49" s="62"/>
      <c r="AH49" s="62"/>
      <c r="AI49" s="62"/>
      <c r="AJ49" s="62"/>
      <c r="AK49" s="62"/>
      <c r="AL49" s="62"/>
      <c r="AM49" s="62"/>
      <c r="AN49" s="62"/>
      <c r="AO49" s="62"/>
    </row>
    <row r="50" spans="1:41" ht="19.5" customHeight="1" x14ac:dyDescent="0.2">
      <c r="A50" s="15"/>
      <c r="B50" s="15"/>
      <c r="C50" s="15"/>
      <c r="D50" s="15"/>
      <c r="E50" s="15"/>
      <c r="F50" s="15"/>
      <c r="G50" s="15"/>
      <c r="H50" s="15"/>
      <c r="I50" s="166" t="str">
        <f>"  Amort. Operação "&amp;Proposta!I25&amp;" - "&amp;Proposta!J25</f>
        <v xml:space="preserve">  Amort. Operação 11 - </v>
      </c>
      <c r="J50" s="163"/>
      <c r="K50" s="165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5"/>
      <c r="AG50" s="62"/>
      <c r="AH50" s="62"/>
      <c r="AI50" s="62"/>
      <c r="AJ50" s="62"/>
      <c r="AK50" s="62"/>
      <c r="AL50" s="62"/>
      <c r="AM50" s="62"/>
      <c r="AN50" s="62"/>
      <c r="AO50" s="62"/>
    </row>
    <row r="51" spans="1:41" ht="19.5" customHeight="1" x14ac:dyDescent="0.2">
      <c r="A51" s="15"/>
      <c r="B51" s="15"/>
      <c r="C51" s="15"/>
      <c r="D51" s="15"/>
      <c r="E51" s="15"/>
      <c r="F51" s="15"/>
      <c r="G51" s="15"/>
      <c r="H51" s="15"/>
      <c r="I51" s="166" t="str">
        <f>"  Amort. Operação "&amp;Proposta!I26&amp;" - "&amp;Proposta!J26</f>
        <v xml:space="preserve">  Amort. Operação 12 - </v>
      </c>
      <c r="J51" s="163"/>
      <c r="K51" s="165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5"/>
      <c r="AG51" s="62"/>
      <c r="AH51" s="62"/>
      <c r="AI51" s="62"/>
      <c r="AJ51" s="62"/>
      <c r="AK51" s="62"/>
      <c r="AL51" s="62"/>
      <c r="AM51" s="62"/>
      <c r="AN51" s="62"/>
      <c r="AO51" s="62"/>
    </row>
    <row r="52" spans="1:41" ht="19.5" customHeight="1" x14ac:dyDescent="0.2">
      <c r="A52" s="15"/>
      <c r="B52" s="15"/>
      <c r="C52" s="15"/>
      <c r="D52" s="15"/>
      <c r="E52" s="15"/>
      <c r="F52" s="15"/>
      <c r="G52" s="15"/>
      <c r="H52" s="15"/>
      <c r="I52" s="166" t="str">
        <f>"  Amort. Operação "&amp;Proposta!I27&amp;" - "&amp;Proposta!J27</f>
        <v xml:space="preserve">  Amort. Operação 13 - </v>
      </c>
      <c r="J52" s="163"/>
      <c r="K52" s="165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5"/>
      <c r="AG52" s="62"/>
      <c r="AH52" s="62"/>
      <c r="AI52" s="62"/>
      <c r="AJ52" s="62"/>
      <c r="AK52" s="62"/>
      <c r="AL52" s="62"/>
      <c r="AM52" s="62"/>
      <c r="AN52" s="62"/>
      <c r="AO52" s="62"/>
    </row>
    <row r="53" spans="1:41" ht="19.5" customHeight="1" x14ac:dyDescent="0.2">
      <c r="A53" s="15"/>
      <c r="B53" s="15"/>
      <c r="C53" s="15"/>
      <c r="D53" s="15"/>
      <c r="E53" s="15"/>
      <c r="F53" s="15"/>
      <c r="G53" s="15"/>
      <c r="H53" s="15"/>
      <c r="I53" s="166" t="str">
        <f>"  Amort. Operação "&amp;Proposta!I28&amp;" - "&amp;Proposta!J28</f>
        <v xml:space="preserve">  Amort. Operação 14 - </v>
      </c>
      <c r="J53" s="163"/>
      <c r="K53" s="165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5"/>
      <c r="AG53" s="62"/>
      <c r="AH53" s="62"/>
      <c r="AI53" s="62"/>
      <c r="AJ53" s="62"/>
      <c r="AK53" s="62"/>
      <c r="AL53" s="62"/>
      <c r="AM53" s="62"/>
      <c r="AN53" s="62"/>
      <c r="AO53" s="62"/>
    </row>
    <row r="54" spans="1:41" ht="19.5" customHeight="1" x14ac:dyDescent="0.2">
      <c r="A54" s="15"/>
      <c r="B54" s="15"/>
      <c r="C54" s="15"/>
      <c r="D54" s="15"/>
      <c r="E54" s="15"/>
      <c r="F54" s="15"/>
      <c r="G54" s="15"/>
      <c r="H54" s="15"/>
      <c r="I54" s="166" t="str">
        <f>"  Amort. Operação "&amp;Proposta!I29&amp;" - "&amp;Proposta!J29</f>
        <v xml:space="preserve">  Amort. Operação 15 - </v>
      </c>
      <c r="J54" s="163"/>
      <c r="K54" s="165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5"/>
      <c r="AG54" s="62"/>
      <c r="AH54" s="62"/>
      <c r="AI54" s="62"/>
      <c r="AJ54" s="62"/>
      <c r="AK54" s="62"/>
      <c r="AL54" s="62"/>
      <c r="AM54" s="62"/>
      <c r="AN54" s="62"/>
      <c r="AO54" s="62"/>
    </row>
    <row r="55" spans="1:41" ht="19.5" customHeight="1" x14ac:dyDescent="0.2">
      <c r="A55" s="15"/>
      <c r="B55" s="15"/>
      <c r="C55" s="15"/>
      <c r="D55" s="15"/>
      <c r="E55" s="15"/>
      <c r="F55" s="15"/>
      <c r="G55" s="15"/>
      <c r="H55" s="15"/>
      <c r="I55" s="166" t="str">
        <f>"  Amort. Operação "&amp;Proposta!I30&amp;" - "&amp;Proposta!J30</f>
        <v xml:space="preserve">  Amort. Operação 16 - </v>
      </c>
      <c r="J55" s="163"/>
      <c r="K55" s="165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5"/>
      <c r="AG55" s="62"/>
      <c r="AH55" s="62"/>
      <c r="AI55" s="62"/>
      <c r="AJ55" s="62"/>
      <c r="AK55" s="62"/>
      <c r="AL55" s="62"/>
      <c r="AM55" s="62"/>
      <c r="AN55" s="62"/>
      <c r="AO55" s="62"/>
    </row>
    <row r="56" spans="1:41" ht="19.5" customHeight="1" x14ac:dyDescent="0.2">
      <c r="A56" s="15"/>
      <c r="B56" s="15"/>
      <c r="C56" s="15"/>
      <c r="D56" s="15"/>
      <c r="E56" s="15"/>
      <c r="F56" s="15"/>
      <c r="G56" s="15"/>
      <c r="H56" s="15"/>
      <c r="I56" s="166" t="str">
        <f>"  Amort. Operação "&amp;Proposta!I31&amp;" - "&amp;Proposta!J31</f>
        <v xml:space="preserve">  Amort. Operação 17 - </v>
      </c>
      <c r="J56" s="163"/>
      <c r="K56" s="165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5"/>
      <c r="AG56" s="62"/>
      <c r="AH56" s="62"/>
      <c r="AI56" s="62"/>
      <c r="AJ56" s="62"/>
      <c r="AK56" s="62"/>
      <c r="AL56" s="62"/>
      <c r="AM56" s="62"/>
      <c r="AN56" s="62"/>
      <c r="AO56" s="62"/>
    </row>
    <row r="57" spans="1:41" ht="19.5" customHeight="1" x14ac:dyDescent="0.2">
      <c r="A57" s="15"/>
      <c r="B57" s="15"/>
      <c r="C57" s="15"/>
      <c r="D57" s="15"/>
      <c r="E57" s="15"/>
      <c r="F57" s="15"/>
      <c r="G57" s="15"/>
      <c r="H57" s="15"/>
      <c r="I57" s="166" t="str">
        <f>"  Amort. Operação "&amp;Proposta!I32&amp;" - "&amp;Proposta!J32</f>
        <v xml:space="preserve">  Amort. Operação 18 - </v>
      </c>
      <c r="J57" s="163"/>
      <c r="K57" s="165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5"/>
      <c r="AG57" s="62"/>
      <c r="AH57" s="62"/>
      <c r="AI57" s="62"/>
      <c r="AJ57" s="62"/>
      <c r="AK57" s="62"/>
      <c r="AL57" s="62"/>
      <c r="AM57" s="62"/>
      <c r="AN57" s="62"/>
      <c r="AO57" s="62"/>
    </row>
    <row r="58" spans="1:41" ht="19.5" customHeight="1" x14ac:dyDescent="0.2">
      <c r="A58" s="15"/>
      <c r="B58" s="15"/>
      <c r="C58" s="15"/>
      <c r="D58" s="15"/>
      <c r="E58" s="15"/>
      <c r="F58" s="15"/>
      <c r="G58" s="15"/>
      <c r="H58" s="15"/>
      <c r="I58" s="166" t="str">
        <f>"  Amort. Operação "&amp;Proposta!I33&amp;" - "&amp;Proposta!J33</f>
        <v xml:space="preserve">  Amort. Operação 19 - </v>
      </c>
      <c r="J58" s="163"/>
      <c r="K58" s="165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5"/>
      <c r="AG58" s="62"/>
      <c r="AH58" s="62"/>
      <c r="AI58" s="62"/>
      <c r="AJ58" s="62"/>
      <c r="AK58" s="62"/>
      <c r="AL58" s="62"/>
      <c r="AM58" s="62"/>
      <c r="AN58" s="62"/>
      <c r="AO58" s="62"/>
    </row>
    <row r="59" spans="1:41" ht="19.5" customHeight="1" x14ac:dyDescent="0.2">
      <c r="A59" s="15"/>
      <c r="B59" s="15"/>
      <c r="C59" s="15"/>
      <c r="D59" s="15"/>
      <c r="E59" s="15"/>
      <c r="F59" s="15"/>
      <c r="G59" s="15"/>
      <c r="H59" s="15"/>
      <c r="I59" s="356"/>
      <c r="J59" s="298"/>
      <c r="K59" s="274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"/>
      <c r="AG59" s="62"/>
      <c r="AH59" s="62"/>
      <c r="AI59" s="62"/>
      <c r="AJ59" s="62"/>
      <c r="AK59" s="62"/>
      <c r="AL59" s="62"/>
      <c r="AM59" s="62"/>
      <c r="AN59" s="62"/>
      <c r="AO59" s="62"/>
    </row>
    <row r="60" spans="1:41" ht="19.5" hidden="1" customHeight="1" x14ac:dyDescent="0.2">
      <c r="A60" s="15"/>
      <c r="B60" s="15"/>
      <c r="C60" s="15"/>
      <c r="D60" s="15"/>
      <c r="E60" s="15"/>
      <c r="F60" s="15"/>
      <c r="G60" s="15"/>
      <c r="H60" s="15"/>
      <c r="I60" s="168"/>
      <c r="J60" s="168"/>
      <c r="K60" s="168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"/>
      <c r="AG60" s="62"/>
      <c r="AH60" s="62"/>
      <c r="AI60" s="62"/>
      <c r="AJ60" s="62"/>
      <c r="AK60" s="62"/>
      <c r="AL60" s="62"/>
      <c r="AM60" s="62"/>
      <c r="AN60" s="62"/>
      <c r="AO60" s="62"/>
    </row>
    <row r="61" spans="1:41" ht="19.5" hidden="1" customHeight="1" x14ac:dyDescent="0.2">
      <c r="A61" s="15"/>
      <c r="B61" s="15"/>
      <c r="C61" s="15"/>
      <c r="D61" s="15"/>
      <c r="E61" s="15"/>
      <c r="F61" s="15"/>
      <c r="G61" s="15"/>
      <c r="H61" s="15"/>
      <c r="I61" s="360" t="s">
        <v>171</v>
      </c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90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62"/>
      <c r="AH61" s="62"/>
      <c r="AI61" s="62"/>
      <c r="AJ61" s="62"/>
      <c r="AK61" s="62"/>
      <c r="AL61" s="62"/>
      <c r="AM61" s="62"/>
      <c r="AN61" s="62"/>
      <c r="AO61" s="62"/>
    </row>
    <row r="62" spans="1:41" ht="19.5" hidden="1" customHeight="1" x14ac:dyDescent="0.2">
      <c r="A62" s="15"/>
      <c r="B62" s="15"/>
      <c r="C62" s="15"/>
      <c r="D62" s="15"/>
      <c r="E62" s="15"/>
      <c r="F62" s="15"/>
      <c r="G62" s="15"/>
      <c r="H62" s="15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5"/>
      <c r="AG62" s="62"/>
      <c r="AH62" s="62"/>
      <c r="AI62" s="62"/>
      <c r="AJ62" s="62"/>
      <c r="AK62" s="62"/>
      <c r="AL62" s="62"/>
      <c r="AM62" s="62"/>
      <c r="AN62" s="62"/>
      <c r="AO62" s="62"/>
    </row>
    <row r="63" spans="1:41" ht="19.5" hidden="1" customHeight="1" x14ac:dyDescent="0.2">
      <c r="A63" s="15"/>
      <c r="B63" s="15"/>
      <c r="C63" s="15"/>
      <c r="D63" s="15"/>
      <c r="E63" s="15"/>
      <c r="F63" s="15"/>
      <c r="G63" s="15"/>
      <c r="H63" s="15"/>
      <c r="I63" s="363" t="s">
        <v>141</v>
      </c>
      <c r="J63" s="286"/>
      <c r="K63" s="282"/>
      <c r="L63" s="153" t="s">
        <v>142</v>
      </c>
      <c r="M63" s="153" t="s">
        <v>143</v>
      </c>
      <c r="N63" s="153" t="s">
        <v>144</v>
      </c>
      <c r="O63" s="153" t="s">
        <v>145</v>
      </c>
      <c r="P63" s="153" t="s">
        <v>146</v>
      </c>
      <c r="Q63" s="153" t="s">
        <v>147</v>
      </c>
      <c r="R63" s="153" t="s">
        <v>148</v>
      </c>
      <c r="S63" s="153" t="s">
        <v>149</v>
      </c>
      <c r="T63" s="153" t="s">
        <v>150</v>
      </c>
      <c r="U63" s="153" t="s">
        <v>151</v>
      </c>
      <c r="V63" s="153" t="s">
        <v>151</v>
      </c>
      <c r="W63" s="153" t="s">
        <v>151</v>
      </c>
      <c r="X63" s="153" t="s">
        <v>151</v>
      </c>
      <c r="Y63" s="153" t="s">
        <v>151</v>
      </c>
      <c r="Z63" s="153" t="s">
        <v>151</v>
      </c>
      <c r="AA63" s="153" t="s">
        <v>151</v>
      </c>
      <c r="AB63" s="153" t="s">
        <v>151</v>
      </c>
      <c r="AC63" s="153" t="s">
        <v>151</v>
      </c>
      <c r="AD63" s="153" t="s">
        <v>151</v>
      </c>
      <c r="AE63" s="153" t="s">
        <v>151</v>
      </c>
      <c r="AF63" s="15"/>
      <c r="AG63" s="62"/>
      <c r="AH63" s="62"/>
      <c r="AI63" s="62"/>
      <c r="AJ63" s="62"/>
      <c r="AK63" s="62"/>
      <c r="AL63" s="62"/>
      <c r="AM63" s="62"/>
      <c r="AN63" s="62"/>
      <c r="AO63" s="62"/>
    </row>
    <row r="64" spans="1:41" ht="19.5" hidden="1" customHeight="1" x14ac:dyDescent="0.2">
      <c r="A64" s="15"/>
      <c r="B64" s="15"/>
      <c r="C64" s="15"/>
      <c r="D64" s="15"/>
      <c r="E64" s="15"/>
      <c r="F64" s="15"/>
      <c r="G64" s="15"/>
      <c r="H64" s="15"/>
      <c r="I64" s="356" t="s">
        <v>172</v>
      </c>
      <c r="J64" s="298"/>
      <c r="K64" s="274"/>
      <c r="L64" s="157">
        <f t="shared" ref="L64:AE64" si="2">SUM(L65:L67)</f>
        <v>0</v>
      </c>
      <c r="M64" s="157">
        <f t="shared" si="2"/>
        <v>0</v>
      </c>
      <c r="N64" s="157">
        <f t="shared" si="2"/>
        <v>0</v>
      </c>
      <c r="O64" s="157">
        <f t="shared" si="2"/>
        <v>1224.24</v>
      </c>
      <c r="P64" s="157">
        <f t="shared" si="2"/>
        <v>1236.48</v>
      </c>
      <c r="Q64" s="157">
        <f t="shared" si="2"/>
        <v>1248.8499999999999</v>
      </c>
      <c r="R64" s="157">
        <f t="shared" si="2"/>
        <v>1261.33</v>
      </c>
      <c r="S64" s="157">
        <f t="shared" si="2"/>
        <v>1273.95</v>
      </c>
      <c r="T64" s="157">
        <f t="shared" si="2"/>
        <v>1286.69</v>
      </c>
      <c r="U64" s="157">
        <f t="shared" si="2"/>
        <v>1299.55</v>
      </c>
      <c r="V64" s="157">
        <f t="shared" si="2"/>
        <v>1312.55</v>
      </c>
      <c r="W64" s="157">
        <f t="shared" si="2"/>
        <v>1325.68</v>
      </c>
      <c r="X64" s="157">
        <f t="shared" si="2"/>
        <v>1338.93</v>
      </c>
      <c r="Y64" s="157">
        <f t="shared" si="2"/>
        <v>1352.32</v>
      </c>
      <c r="Z64" s="157">
        <f t="shared" si="2"/>
        <v>1365.85</v>
      </c>
      <c r="AA64" s="157">
        <f t="shared" si="2"/>
        <v>1379.5</v>
      </c>
      <c r="AB64" s="157">
        <f t="shared" si="2"/>
        <v>1393.3</v>
      </c>
      <c r="AC64" s="157">
        <f t="shared" si="2"/>
        <v>1407.23</v>
      </c>
      <c r="AD64" s="157">
        <f t="shared" si="2"/>
        <v>1421.3</v>
      </c>
      <c r="AE64" s="157">
        <f t="shared" si="2"/>
        <v>1435.53</v>
      </c>
      <c r="AF64" s="15"/>
      <c r="AG64" s="62"/>
      <c r="AH64" s="62"/>
      <c r="AI64" s="62"/>
      <c r="AJ64" s="62"/>
      <c r="AK64" s="62"/>
      <c r="AL64" s="62"/>
      <c r="AM64" s="62"/>
      <c r="AN64" s="62"/>
      <c r="AO64" s="62"/>
    </row>
    <row r="65" spans="1:41" ht="19.5" hidden="1" customHeight="1" x14ac:dyDescent="0.2">
      <c r="A65" s="15"/>
      <c r="B65" s="15"/>
      <c r="C65" s="15"/>
      <c r="D65" s="15"/>
      <c r="E65" s="15"/>
      <c r="F65" s="15"/>
      <c r="G65" s="15"/>
      <c r="H65" s="15"/>
      <c r="I65" s="356" t="str">
        <f>"  Prestação - Operação "&amp;Proposta!I14&amp;" - "&amp;Proposta!J14</f>
        <v xml:space="preserve">  Prestação - Operação  - SCR</v>
      </c>
      <c r="J65" s="298"/>
      <c r="K65" s="274"/>
      <c r="L65" s="155">
        <f t="shared" ref="L65:AE65" si="3">L17+L39</f>
        <v>0</v>
      </c>
      <c r="M65" s="155">
        <f t="shared" si="3"/>
        <v>0</v>
      </c>
      <c r="N65" s="155">
        <f t="shared" si="3"/>
        <v>0</v>
      </c>
      <c r="O65" s="155">
        <f t="shared" si="3"/>
        <v>0</v>
      </c>
      <c r="P65" s="155">
        <f t="shared" si="3"/>
        <v>0</v>
      </c>
      <c r="Q65" s="155">
        <f t="shared" si="3"/>
        <v>0</v>
      </c>
      <c r="R65" s="155">
        <f t="shared" si="3"/>
        <v>0</v>
      </c>
      <c r="S65" s="155">
        <f t="shared" si="3"/>
        <v>0</v>
      </c>
      <c r="T65" s="155">
        <f t="shared" si="3"/>
        <v>0</v>
      </c>
      <c r="U65" s="155">
        <f t="shared" si="3"/>
        <v>0</v>
      </c>
      <c r="V65" s="155">
        <f t="shared" si="3"/>
        <v>0</v>
      </c>
      <c r="W65" s="155">
        <f t="shared" si="3"/>
        <v>0</v>
      </c>
      <c r="X65" s="155">
        <f t="shared" si="3"/>
        <v>0</v>
      </c>
      <c r="Y65" s="155">
        <f t="shared" si="3"/>
        <v>0</v>
      </c>
      <c r="Z65" s="155">
        <f t="shared" si="3"/>
        <v>0</v>
      </c>
      <c r="AA65" s="155">
        <f t="shared" si="3"/>
        <v>0</v>
      </c>
      <c r="AB65" s="155">
        <f t="shared" si="3"/>
        <v>0</v>
      </c>
      <c r="AC65" s="155">
        <f t="shared" si="3"/>
        <v>0</v>
      </c>
      <c r="AD65" s="155">
        <f t="shared" si="3"/>
        <v>0</v>
      </c>
      <c r="AE65" s="155">
        <f t="shared" si="3"/>
        <v>0</v>
      </c>
      <c r="AF65" s="15"/>
      <c r="AG65" s="62"/>
      <c r="AH65" s="62"/>
      <c r="AI65" s="62"/>
      <c r="AJ65" s="62"/>
      <c r="AK65" s="62"/>
      <c r="AL65" s="62"/>
      <c r="AM65" s="62"/>
      <c r="AN65" s="62"/>
      <c r="AO65" s="62"/>
    </row>
    <row r="66" spans="1:41" ht="19.5" hidden="1" customHeight="1" x14ac:dyDescent="0.2">
      <c r="A66" s="15"/>
      <c r="B66" s="15"/>
      <c r="C66" s="15"/>
      <c r="D66" s="15"/>
      <c r="E66" s="15"/>
      <c r="F66" s="15"/>
      <c r="G66" s="15"/>
      <c r="H66" s="15"/>
      <c r="I66" s="356" t="str">
        <f>"  Prestação - Operação "&amp;Proposta!I15&amp;" - "&amp;Proposta!J15</f>
        <v xml:space="preserve">  Prestação - Operação 1 - </v>
      </c>
      <c r="J66" s="298"/>
      <c r="K66" s="274"/>
      <c r="L66" s="155">
        <f t="shared" ref="L66:AE66" si="4">L18+L40</f>
        <v>0</v>
      </c>
      <c r="M66" s="155">
        <f t="shared" si="4"/>
        <v>0</v>
      </c>
      <c r="N66" s="155">
        <f t="shared" si="4"/>
        <v>0</v>
      </c>
      <c r="O66" s="155">
        <f t="shared" si="4"/>
        <v>1224.24</v>
      </c>
      <c r="P66" s="155">
        <f t="shared" si="4"/>
        <v>1236.48</v>
      </c>
      <c r="Q66" s="155">
        <f t="shared" si="4"/>
        <v>1248.8499999999999</v>
      </c>
      <c r="R66" s="155">
        <f t="shared" si="4"/>
        <v>1261.33</v>
      </c>
      <c r="S66" s="155">
        <f t="shared" si="4"/>
        <v>1273.95</v>
      </c>
      <c r="T66" s="155">
        <f t="shared" si="4"/>
        <v>1286.69</v>
      </c>
      <c r="U66" s="155">
        <f t="shared" si="4"/>
        <v>1299.55</v>
      </c>
      <c r="V66" s="155">
        <f t="shared" si="4"/>
        <v>1312.55</v>
      </c>
      <c r="W66" s="155">
        <f t="shared" si="4"/>
        <v>1325.68</v>
      </c>
      <c r="X66" s="155">
        <f t="shared" si="4"/>
        <v>1338.93</v>
      </c>
      <c r="Y66" s="155">
        <f t="shared" si="4"/>
        <v>1352.32</v>
      </c>
      <c r="Z66" s="155">
        <f t="shared" si="4"/>
        <v>1365.85</v>
      </c>
      <c r="AA66" s="155">
        <f t="shared" si="4"/>
        <v>1379.5</v>
      </c>
      <c r="AB66" s="155">
        <f t="shared" si="4"/>
        <v>1393.3</v>
      </c>
      <c r="AC66" s="155">
        <f t="shared" si="4"/>
        <v>1407.23</v>
      </c>
      <c r="AD66" s="155">
        <f t="shared" si="4"/>
        <v>1421.3</v>
      </c>
      <c r="AE66" s="155">
        <f t="shared" si="4"/>
        <v>1435.53</v>
      </c>
      <c r="AF66" s="15"/>
      <c r="AG66" s="62"/>
      <c r="AH66" s="62"/>
      <c r="AI66" s="62"/>
      <c r="AJ66" s="62"/>
      <c r="AK66" s="62"/>
      <c r="AL66" s="62"/>
      <c r="AM66" s="62"/>
      <c r="AN66" s="62"/>
      <c r="AO66" s="62"/>
    </row>
    <row r="67" spans="1:41" ht="19.5" hidden="1" customHeight="1" x14ac:dyDescent="0.2">
      <c r="A67" s="15"/>
      <c r="B67" s="15"/>
      <c r="C67" s="15"/>
      <c r="D67" s="15"/>
      <c r="E67" s="15"/>
      <c r="F67" s="15"/>
      <c r="G67" s="15"/>
      <c r="H67" s="15"/>
      <c r="I67" s="356" t="str">
        <f>"  Prestação - Operação "&amp;Proposta!I16&amp;" - "&amp;Proposta!J16</f>
        <v xml:space="preserve">  Prestação - Operação 2 - </v>
      </c>
      <c r="J67" s="298"/>
      <c r="K67" s="274"/>
      <c r="L67" s="155">
        <f t="shared" ref="L67:AE67" si="5">L19+L41</f>
        <v>0</v>
      </c>
      <c r="M67" s="155">
        <f t="shared" si="5"/>
        <v>0</v>
      </c>
      <c r="N67" s="155">
        <f t="shared" si="5"/>
        <v>0</v>
      </c>
      <c r="O67" s="155">
        <f t="shared" si="5"/>
        <v>0</v>
      </c>
      <c r="P67" s="155">
        <f t="shared" si="5"/>
        <v>0</v>
      </c>
      <c r="Q67" s="155">
        <f t="shared" si="5"/>
        <v>0</v>
      </c>
      <c r="R67" s="155">
        <f t="shared" si="5"/>
        <v>0</v>
      </c>
      <c r="S67" s="155">
        <f t="shared" si="5"/>
        <v>0</v>
      </c>
      <c r="T67" s="155">
        <f t="shared" si="5"/>
        <v>0</v>
      </c>
      <c r="U67" s="155">
        <f t="shared" si="5"/>
        <v>0</v>
      </c>
      <c r="V67" s="155">
        <f t="shared" si="5"/>
        <v>0</v>
      </c>
      <c r="W67" s="155">
        <f t="shared" si="5"/>
        <v>0</v>
      </c>
      <c r="X67" s="155">
        <f t="shared" si="5"/>
        <v>0</v>
      </c>
      <c r="Y67" s="155">
        <f t="shared" si="5"/>
        <v>0</v>
      </c>
      <c r="Z67" s="155">
        <f t="shared" si="5"/>
        <v>0</v>
      </c>
      <c r="AA67" s="155">
        <f t="shared" si="5"/>
        <v>0</v>
      </c>
      <c r="AB67" s="155">
        <f t="shared" si="5"/>
        <v>0</v>
      </c>
      <c r="AC67" s="155">
        <f t="shared" si="5"/>
        <v>0</v>
      </c>
      <c r="AD67" s="155">
        <f t="shared" si="5"/>
        <v>0</v>
      </c>
      <c r="AE67" s="155">
        <f t="shared" si="5"/>
        <v>0</v>
      </c>
      <c r="AF67" s="15"/>
      <c r="AG67" s="62"/>
      <c r="AH67" s="62"/>
      <c r="AI67" s="62"/>
      <c r="AJ67" s="62"/>
      <c r="AK67" s="62"/>
      <c r="AL67" s="62"/>
      <c r="AM67" s="62"/>
      <c r="AN67" s="62"/>
      <c r="AO67" s="62"/>
    </row>
    <row r="68" spans="1:41" ht="19.5" customHeight="1" x14ac:dyDescent="0.2">
      <c r="A68" s="15"/>
      <c r="B68" s="15"/>
      <c r="C68" s="15"/>
      <c r="D68" s="15"/>
      <c r="E68" s="15"/>
      <c r="F68" s="15"/>
      <c r="G68" s="15"/>
      <c r="H68" s="15"/>
      <c r="I68" s="23"/>
      <c r="J68" s="23"/>
      <c r="K68" s="23"/>
      <c r="L68" s="23"/>
      <c r="M68" s="23"/>
      <c r="N68" s="23"/>
      <c r="O68" s="23"/>
      <c r="P68" s="23"/>
      <c r="Q68" s="23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62"/>
      <c r="AH68" s="62"/>
      <c r="AI68" s="62"/>
      <c r="AJ68" s="62"/>
      <c r="AK68" s="62"/>
      <c r="AL68" s="62"/>
      <c r="AM68" s="62"/>
      <c r="AN68" s="62"/>
      <c r="AO68" s="62"/>
    </row>
    <row r="69" spans="1:41" ht="19.5" customHeight="1" x14ac:dyDescent="0.2">
      <c r="A69" s="15"/>
      <c r="B69" s="15"/>
      <c r="C69" s="15"/>
      <c r="D69" s="15"/>
      <c r="E69" s="15"/>
      <c r="F69" s="15"/>
      <c r="G69" s="15"/>
      <c r="H69" s="15"/>
      <c r="I69" s="23"/>
      <c r="J69" s="23"/>
      <c r="K69" s="23"/>
      <c r="L69" s="23"/>
      <c r="M69" s="23"/>
      <c r="N69" s="23"/>
      <c r="O69" s="23"/>
      <c r="P69" s="23"/>
      <c r="Q69" s="23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62"/>
      <c r="AH69" s="62"/>
      <c r="AI69" s="62"/>
      <c r="AJ69" s="62"/>
      <c r="AK69" s="62"/>
      <c r="AL69" s="62"/>
      <c r="AM69" s="62"/>
      <c r="AN69" s="62"/>
      <c r="AO69" s="62"/>
    </row>
    <row r="70" spans="1:41" ht="19.5" customHeight="1" x14ac:dyDescent="0.2">
      <c r="A70" s="15"/>
      <c r="B70" s="15"/>
      <c r="C70" s="15"/>
      <c r="D70" s="15"/>
      <c r="E70" s="15"/>
      <c r="F70" s="15"/>
      <c r="G70" s="15"/>
      <c r="H70" s="15"/>
      <c r="I70" s="23"/>
      <c r="J70" s="23"/>
      <c r="K70" s="23"/>
      <c r="L70" s="23"/>
      <c r="M70" s="23"/>
      <c r="N70" s="23"/>
      <c r="O70" s="23"/>
      <c r="P70" s="23"/>
      <c r="Q70" s="23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62"/>
      <c r="AH70" s="62"/>
      <c r="AI70" s="62"/>
      <c r="AJ70" s="62"/>
      <c r="AK70" s="62"/>
      <c r="AL70" s="62"/>
      <c r="AM70" s="62"/>
      <c r="AN70" s="62"/>
      <c r="AO70" s="62"/>
    </row>
    <row r="71" spans="1:41" ht="19.5" customHeight="1" x14ac:dyDescent="0.2">
      <c r="A71" s="15"/>
      <c r="B71" s="15"/>
      <c r="C71" s="15"/>
      <c r="D71" s="15"/>
      <c r="E71" s="15"/>
      <c r="F71" s="15"/>
      <c r="G71" s="15"/>
      <c r="H71" s="15"/>
      <c r="I71" s="23"/>
      <c r="J71" s="23"/>
      <c r="K71" s="23"/>
      <c r="L71" s="23"/>
      <c r="M71" s="23"/>
      <c r="N71" s="23"/>
      <c r="O71" s="23"/>
      <c r="P71" s="23"/>
      <c r="Q71" s="23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62"/>
      <c r="AH71" s="62"/>
      <c r="AI71" s="62"/>
      <c r="AJ71" s="62"/>
      <c r="AK71" s="62"/>
      <c r="AL71" s="62"/>
      <c r="AM71" s="62"/>
      <c r="AN71" s="62"/>
      <c r="AO71" s="62"/>
    </row>
    <row r="72" spans="1:41" ht="19.5" customHeight="1" x14ac:dyDescent="0.2">
      <c r="A72" s="15"/>
      <c r="B72" s="15"/>
      <c r="C72" s="15"/>
      <c r="D72" s="15"/>
      <c r="E72" s="15"/>
      <c r="F72" s="15"/>
      <c r="G72" s="15"/>
      <c r="H72" s="15"/>
      <c r="I72" s="23"/>
      <c r="J72" s="23"/>
      <c r="K72" s="23"/>
      <c r="L72" s="23"/>
      <c r="M72" s="23"/>
      <c r="N72" s="23"/>
      <c r="O72" s="23"/>
      <c r="P72" s="23"/>
      <c r="Q72" s="23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62"/>
      <c r="AH72" s="62"/>
      <c r="AI72" s="62"/>
      <c r="AJ72" s="62"/>
      <c r="AK72" s="62"/>
      <c r="AL72" s="62"/>
      <c r="AM72" s="62"/>
      <c r="AN72" s="62"/>
      <c r="AO72" s="62"/>
    </row>
    <row r="73" spans="1:41" ht="19.5" customHeight="1" x14ac:dyDescent="0.2">
      <c r="A73" s="15"/>
      <c r="B73" s="15"/>
      <c r="C73" s="15"/>
      <c r="D73" s="15"/>
      <c r="E73" s="15"/>
      <c r="F73" s="15"/>
      <c r="G73" s="15"/>
      <c r="H73" s="15"/>
      <c r="I73" s="23"/>
      <c r="J73" s="23"/>
      <c r="K73" s="23"/>
      <c r="L73" s="23"/>
      <c r="M73" s="23"/>
      <c r="N73" s="23"/>
      <c r="O73" s="23"/>
      <c r="P73" s="23"/>
      <c r="Q73" s="23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62"/>
      <c r="AH73" s="62"/>
      <c r="AI73" s="62"/>
      <c r="AJ73" s="62"/>
      <c r="AK73" s="62"/>
      <c r="AL73" s="62"/>
      <c r="AM73" s="62"/>
      <c r="AN73" s="62"/>
      <c r="AO73" s="62"/>
    </row>
    <row r="74" spans="1:41" ht="19.5" customHeight="1" x14ac:dyDescent="0.2">
      <c r="A74" s="15"/>
      <c r="B74" s="15"/>
      <c r="C74" s="15"/>
      <c r="D74" s="15"/>
      <c r="E74" s="15"/>
      <c r="F74" s="15"/>
      <c r="G74" s="15"/>
      <c r="H74" s="15"/>
      <c r="I74" s="23"/>
      <c r="J74" s="23"/>
      <c r="K74" s="23"/>
      <c r="L74" s="23"/>
      <c r="M74" s="23"/>
      <c r="N74" s="23"/>
      <c r="O74" s="23"/>
      <c r="P74" s="23"/>
      <c r="Q74" s="23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62"/>
      <c r="AH74" s="62"/>
      <c r="AI74" s="62"/>
      <c r="AJ74" s="62"/>
      <c r="AK74" s="62"/>
      <c r="AL74" s="62"/>
      <c r="AM74" s="62"/>
      <c r="AN74" s="62"/>
      <c r="AO74" s="62"/>
    </row>
    <row r="75" spans="1:41" ht="19.5" customHeight="1" x14ac:dyDescent="0.2">
      <c r="A75" s="15"/>
      <c r="B75" s="15"/>
      <c r="C75" s="15"/>
      <c r="D75" s="15"/>
      <c r="E75" s="15"/>
      <c r="F75" s="15"/>
      <c r="G75" s="15"/>
      <c r="H75" s="15"/>
      <c r="I75" s="23"/>
      <c r="J75" s="23"/>
      <c r="K75" s="23"/>
      <c r="L75" s="23"/>
      <c r="M75" s="23"/>
      <c r="N75" s="23"/>
      <c r="O75" s="23"/>
      <c r="P75" s="23"/>
      <c r="Q75" s="23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62"/>
      <c r="AH75" s="62"/>
      <c r="AI75" s="62"/>
      <c r="AJ75" s="62"/>
      <c r="AK75" s="62"/>
      <c r="AL75" s="62"/>
      <c r="AM75" s="62"/>
      <c r="AN75" s="62"/>
      <c r="AO75" s="62"/>
    </row>
    <row r="76" spans="1:41" ht="19.5" customHeight="1" x14ac:dyDescent="0.2">
      <c r="A76" s="15"/>
      <c r="B76" s="15"/>
      <c r="C76" s="15"/>
      <c r="D76" s="15"/>
      <c r="E76" s="15"/>
      <c r="F76" s="15"/>
      <c r="G76" s="15"/>
      <c r="H76" s="15"/>
      <c r="I76" s="23"/>
      <c r="J76" s="23"/>
      <c r="K76" s="23"/>
      <c r="L76" s="23"/>
      <c r="M76" s="23"/>
      <c r="N76" s="23"/>
      <c r="O76" s="23"/>
      <c r="P76" s="23"/>
      <c r="Q76" s="23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62"/>
      <c r="AH76" s="62"/>
      <c r="AI76" s="62"/>
      <c r="AJ76" s="62"/>
      <c r="AK76" s="62"/>
      <c r="AL76" s="62"/>
      <c r="AM76" s="62"/>
      <c r="AN76" s="62"/>
      <c r="AO76" s="62"/>
    </row>
    <row r="77" spans="1:41" ht="19.5" customHeight="1" x14ac:dyDescent="0.2">
      <c r="A77" s="15"/>
      <c r="B77" s="15"/>
      <c r="C77" s="15"/>
      <c r="D77" s="15"/>
      <c r="E77" s="15"/>
      <c r="F77" s="15"/>
      <c r="G77" s="15"/>
      <c r="H77" s="15"/>
      <c r="I77" s="23"/>
      <c r="J77" s="23"/>
      <c r="K77" s="23"/>
      <c r="L77" s="23"/>
      <c r="M77" s="23"/>
      <c r="N77" s="23"/>
      <c r="O77" s="23"/>
      <c r="P77" s="23"/>
      <c r="Q77" s="23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62"/>
      <c r="AH77" s="62"/>
      <c r="AI77" s="62"/>
      <c r="AJ77" s="62"/>
      <c r="AK77" s="62"/>
      <c r="AL77" s="62"/>
      <c r="AM77" s="62"/>
      <c r="AN77" s="62"/>
      <c r="AO77" s="62"/>
    </row>
    <row r="78" spans="1:41" ht="19.5" customHeight="1" x14ac:dyDescent="0.2">
      <c r="A78" s="15"/>
      <c r="B78" s="15"/>
      <c r="C78" s="15"/>
      <c r="D78" s="15"/>
      <c r="E78" s="15"/>
      <c r="F78" s="15"/>
      <c r="G78" s="15"/>
      <c r="H78" s="15"/>
      <c r="I78" s="23"/>
      <c r="J78" s="23"/>
      <c r="K78" s="23"/>
      <c r="L78" s="23"/>
      <c r="M78" s="23"/>
      <c r="N78" s="23"/>
      <c r="O78" s="23"/>
      <c r="P78" s="23"/>
      <c r="Q78" s="23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62"/>
      <c r="AH78" s="62"/>
      <c r="AI78" s="62"/>
      <c r="AJ78" s="62"/>
      <c r="AK78" s="62"/>
      <c r="AL78" s="62"/>
      <c r="AM78" s="62"/>
      <c r="AN78" s="62"/>
      <c r="AO78" s="62"/>
    </row>
    <row r="79" spans="1:41" ht="19.5" customHeight="1" x14ac:dyDescent="0.2">
      <c r="A79" s="15"/>
      <c r="B79" s="15"/>
      <c r="C79" s="15"/>
      <c r="D79" s="15"/>
      <c r="E79" s="15"/>
      <c r="F79" s="15"/>
      <c r="G79" s="15"/>
      <c r="H79" s="15"/>
      <c r="I79" s="23"/>
      <c r="J79" s="23"/>
      <c r="K79" s="23"/>
      <c r="L79" s="23"/>
      <c r="M79" s="23"/>
      <c r="N79" s="23"/>
      <c r="O79" s="23"/>
      <c r="P79" s="23"/>
      <c r="Q79" s="23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62"/>
      <c r="AH79" s="62"/>
      <c r="AI79" s="62"/>
      <c r="AJ79" s="62"/>
      <c r="AK79" s="62"/>
      <c r="AL79" s="62"/>
      <c r="AM79" s="62"/>
      <c r="AN79" s="62"/>
      <c r="AO79" s="62"/>
    </row>
    <row r="80" spans="1:41" ht="19.5" customHeight="1" x14ac:dyDescent="0.2">
      <c r="A80" s="15"/>
      <c r="B80" s="15"/>
      <c r="C80" s="15"/>
      <c r="D80" s="15"/>
      <c r="E80" s="15"/>
      <c r="F80" s="15"/>
      <c r="G80" s="15"/>
      <c r="H80" s="15"/>
      <c r="I80" s="23"/>
      <c r="J80" s="23"/>
      <c r="K80" s="23"/>
      <c r="L80" s="23"/>
      <c r="M80" s="23"/>
      <c r="N80" s="23"/>
      <c r="O80" s="23"/>
      <c r="P80" s="23"/>
      <c r="Q80" s="23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62"/>
      <c r="AH80" s="62"/>
      <c r="AI80" s="62"/>
      <c r="AJ80" s="62"/>
      <c r="AK80" s="62"/>
      <c r="AL80" s="62"/>
      <c r="AM80" s="62"/>
      <c r="AN80" s="62"/>
      <c r="AO80" s="62"/>
    </row>
    <row r="81" spans="1:41" ht="19.5" customHeight="1" x14ac:dyDescent="0.2">
      <c r="A81" s="15"/>
      <c r="B81" s="15"/>
      <c r="C81" s="15"/>
      <c r="D81" s="15"/>
      <c r="E81" s="15"/>
      <c r="F81" s="15"/>
      <c r="G81" s="15"/>
      <c r="H81" s="15"/>
      <c r="I81" s="23"/>
      <c r="J81" s="23"/>
      <c r="K81" s="23"/>
      <c r="L81" s="23"/>
      <c r="M81" s="23"/>
      <c r="N81" s="23"/>
      <c r="O81" s="23"/>
      <c r="P81" s="23"/>
      <c r="Q81" s="23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62"/>
      <c r="AH81" s="62"/>
      <c r="AI81" s="62"/>
      <c r="AJ81" s="62"/>
      <c r="AK81" s="62"/>
      <c r="AL81" s="62"/>
      <c r="AM81" s="62"/>
      <c r="AN81" s="62"/>
      <c r="AO81" s="62"/>
    </row>
    <row r="82" spans="1:41" ht="19.5" customHeight="1" x14ac:dyDescent="0.2">
      <c r="A82" s="15"/>
      <c r="B82" s="15"/>
      <c r="C82" s="15"/>
      <c r="D82" s="15"/>
      <c r="E82" s="15"/>
      <c r="F82" s="15"/>
      <c r="G82" s="15"/>
      <c r="H82" s="15"/>
      <c r="I82" s="23"/>
      <c r="J82" s="23"/>
      <c r="K82" s="23"/>
      <c r="L82" s="23"/>
      <c r="M82" s="23"/>
      <c r="N82" s="23"/>
      <c r="O82" s="23"/>
      <c r="P82" s="23"/>
      <c r="Q82" s="23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62"/>
      <c r="AH82" s="62"/>
      <c r="AI82" s="62"/>
      <c r="AJ82" s="62"/>
      <c r="AK82" s="62"/>
      <c r="AL82" s="62"/>
      <c r="AM82" s="62"/>
      <c r="AN82" s="62"/>
      <c r="AO82" s="62"/>
    </row>
    <row r="83" spans="1:41" ht="19.5" customHeight="1" x14ac:dyDescent="0.2">
      <c r="A83" s="15"/>
      <c r="B83" s="15"/>
      <c r="C83" s="15"/>
      <c r="D83" s="15"/>
      <c r="E83" s="15"/>
      <c r="F83" s="15"/>
      <c r="G83" s="15"/>
      <c r="H83" s="15"/>
      <c r="I83" s="19"/>
      <c r="J83" s="19"/>
      <c r="K83" s="19"/>
      <c r="L83" s="19"/>
      <c r="M83" s="19"/>
      <c r="N83" s="19"/>
      <c r="O83" s="19"/>
      <c r="P83" s="19"/>
      <c r="Q83" s="19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62"/>
      <c r="AH83" s="62"/>
      <c r="AI83" s="62"/>
      <c r="AJ83" s="62"/>
      <c r="AK83" s="62"/>
      <c r="AL83" s="62"/>
      <c r="AM83" s="62"/>
      <c r="AN83" s="62"/>
      <c r="AO83" s="62"/>
    </row>
    <row r="84" spans="1:41" ht="19.5" customHeight="1" x14ac:dyDescent="0.2">
      <c r="A84" s="15"/>
      <c r="B84" s="15"/>
      <c r="C84" s="15"/>
      <c r="D84" s="15"/>
      <c r="E84" s="15"/>
      <c r="F84" s="15"/>
      <c r="G84" s="15"/>
      <c r="H84" s="15"/>
      <c r="I84" s="170" t="s">
        <v>173</v>
      </c>
      <c r="J84" s="171"/>
      <c r="K84" s="171"/>
      <c r="L84" s="172"/>
      <c r="M84" s="27" t="s">
        <v>174</v>
      </c>
      <c r="N84" s="27" t="s">
        <v>175</v>
      </c>
      <c r="O84" s="27" t="s">
        <v>176</v>
      </c>
      <c r="P84" s="27" t="s">
        <v>177</v>
      </c>
      <c r="Q84" s="27" t="s">
        <v>178</v>
      </c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62"/>
      <c r="AH84" s="62"/>
      <c r="AI84" s="62"/>
      <c r="AJ84" s="62"/>
      <c r="AK84" s="62"/>
      <c r="AL84" s="62"/>
      <c r="AM84" s="62"/>
      <c r="AN84" s="62"/>
      <c r="AO84" s="62"/>
    </row>
    <row r="85" spans="1:41" ht="19.5" customHeight="1" x14ac:dyDescent="0.2">
      <c r="A85" s="15"/>
      <c r="B85" s="15"/>
      <c r="C85" s="15"/>
      <c r="D85" s="15"/>
      <c r="E85" s="15"/>
      <c r="F85" s="15"/>
      <c r="G85" s="15"/>
      <c r="H85" s="15"/>
      <c r="I85" s="173"/>
      <c r="J85" s="174"/>
      <c r="K85" s="174"/>
      <c r="L85" s="175"/>
      <c r="M85" s="176"/>
      <c r="N85" s="177"/>
      <c r="O85" s="178"/>
      <c r="P85" s="179"/>
      <c r="Q85" s="180" t="str">
        <f t="shared" ref="Q85:Q92" si="6">IF(M85=0,"",ROUND(O85*M85,2)-P85)</f>
        <v/>
      </c>
      <c r="R85" s="181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62"/>
      <c r="AH85" s="62"/>
      <c r="AI85" s="62"/>
      <c r="AJ85" s="62"/>
      <c r="AK85" s="62"/>
      <c r="AL85" s="62"/>
      <c r="AM85" s="62"/>
      <c r="AN85" s="62"/>
      <c r="AO85" s="62"/>
    </row>
    <row r="86" spans="1:41" ht="19.5" customHeight="1" x14ac:dyDescent="0.2">
      <c r="A86" s="15"/>
      <c r="B86" s="15"/>
      <c r="C86" s="15"/>
      <c r="D86" s="15"/>
      <c r="E86" s="15"/>
      <c r="F86" s="15"/>
      <c r="G86" s="15"/>
      <c r="H86" s="15"/>
      <c r="I86" s="182"/>
      <c r="J86" s="183"/>
      <c r="K86" s="183"/>
      <c r="L86" s="184"/>
      <c r="M86" s="185"/>
      <c r="N86" s="186"/>
      <c r="O86" s="187"/>
      <c r="P86" s="188"/>
      <c r="Q86" s="189" t="str">
        <f t="shared" si="6"/>
        <v/>
      </c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62"/>
      <c r="AH86" s="62"/>
      <c r="AI86" s="62"/>
      <c r="AJ86" s="62"/>
      <c r="AK86" s="62"/>
      <c r="AL86" s="62"/>
      <c r="AM86" s="62"/>
      <c r="AN86" s="62"/>
      <c r="AO86" s="62"/>
    </row>
    <row r="87" spans="1:41" ht="19.5" customHeight="1" x14ac:dyDescent="0.2">
      <c r="A87" s="15"/>
      <c r="B87" s="15"/>
      <c r="C87" s="15"/>
      <c r="D87" s="15"/>
      <c r="E87" s="15"/>
      <c r="F87" s="15"/>
      <c r="G87" s="15"/>
      <c r="H87" s="15"/>
      <c r="I87" s="182"/>
      <c r="J87" s="183"/>
      <c r="K87" s="183"/>
      <c r="L87" s="184"/>
      <c r="M87" s="185"/>
      <c r="N87" s="186"/>
      <c r="O87" s="187"/>
      <c r="P87" s="188"/>
      <c r="Q87" s="189" t="str">
        <f t="shared" si="6"/>
        <v/>
      </c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62"/>
      <c r="AH87" s="62"/>
      <c r="AI87" s="62"/>
      <c r="AJ87" s="62"/>
      <c r="AK87" s="62"/>
      <c r="AL87" s="62"/>
      <c r="AM87" s="62"/>
      <c r="AN87" s="62"/>
      <c r="AO87" s="62"/>
    </row>
    <row r="88" spans="1:41" ht="19.5" customHeight="1" x14ac:dyDescent="0.2">
      <c r="A88" s="15"/>
      <c r="B88" s="15"/>
      <c r="C88" s="15"/>
      <c r="D88" s="15"/>
      <c r="E88" s="15"/>
      <c r="F88" s="15"/>
      <c r="G88" s="15"/>
      <c r="H88" s="15"/>
      <c r="I88" s="182"/>
      <c r="J88" s="183"/>
      <c r="K88" s="183"/>
      <c r="L88" s="184"/>
      <c r="M88" s="185"/>
      <c r="N88" s="186"/>
      <c r="O88" s="187"/>
      <c r="P88" s="188"/>
      <c r="Q88" s="189" t="str">
        <f t="shared" si="6"/>
        <v/>
      </c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62"/>
      <c r="AH88" s="62"/>
      <c r="AI88" s="62"/>
      <c r="AJ88" s="62"/>
      <c r="AK88" s="62"/>
      <c r="AL88" s="62"/>
      <c r="AM88" s="62"/>
      <c r="AN88" s="62"/>
      <c r="AO88" s="62"/>
    </row>
    <row r="89" spans="1:41" ht="19.5" customHeight="1" x14ac:dyDescent="0.2">
      <c r="A89" s="15"/>
      <c r="B89" s="15"/>
      <c r="C89" s="15"/>
      <c r="D89" s="15"/>
      <c r="E89" s="15"/>
      <c r="F89" s="15"/>
      <c r="G89" s="15"/>
      <c r="H89" s="15"/>
      <c r="I89" s="182"/>
      <c r="J89" s="183"/>
      <c r="K89" s="183"/>
      <c r="L89" s="184"/>
      <c r="M89" s="185"/>
      <c r="N89" s="186"/>
      <c r="O89" s="187"/>
      <c r="P89" s="188"/>
      <c r="Q89" s="189" t="str">
        <f t="shared" si="6"/>
        <v/>
      </c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62"/>
      <c r="AH89" s="62"/>
      <c r="AI89" s="62"/>
      <c r="AJ89" s="62"/>
      <c r="AK89" s="62"/>
      <c r="AL89" s="62"/>
      <c r="AM89" s="62"/>
      <c r="AN89" s="62"/>
      <c r="AO89" s="62"/>
    </row>
    <row r="90" spans="1:41" ht="19.5" customHeight="1" x14ac:dyDescent="0.2">
      <c r="A90" s="15"/>
      <c r="B90" s="15"/>
      <c r="C90" s="15"/>
      <c r="D90" s="15"/>
      <c r="E90" s="15"/>
      <c r="F90" s="15"/>
      <c r="G90" s="15"/>
      <c r="H90" s="15"/>
      <c r="I90" s="182"/>
      <c r="J90" s="183"/>
      <c r="K90" s="183"/>
      <c r="L90" s="184"/>
      <c r="M90" s="185"/>
      <c r="N90" s="186"/>
      <c r="O90" s="187"/>
      <c r="P90" s="188"/>
      <c r="Q90" s="189" t="str">
        <f t="shared" si="6"/>
        <v/>
      </c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62"/>
      <c r="AH90" s="62"/>
      <c r="AI90" s="62"/>
      <c r="AJ90" s="62"/>
      <c r="AK90" s="62"/>
      <c r="AL90" s="62"/>
      <c r="AM90" s="62"/>
      <c r="AN90" s="62"/>
      <c r="AO90" s="62"/>
    </row>
    <row r="91" spans="1:41" ht="19.5" customHeight="1" x14ac:dyDescent="0.2">
      <c r="A91" s="15"/>
      <c r="B91" s="15"/>
      <c r="C91" s="15"/>
      <c r="D91" s="15"/>
      <c r="E91" s="15"/>
      <c r="F91" s="15"/>
      <c r="G91" s="15"/>
      <c r="H91" s="15"/>
      <c r="I91" s="182"/>
      <c r="J91" s="183"/>
      <c r="K91" s="183"/>
      <c r="L91" s="184"/>
      <c r="M91" s="185"/>
      <c r="N91" s="186"/>
      <c r="O91" s="187"/>
      <c r="P91" s="188"/>
      <c r="Q91" s="189" t="str">
        <f t="shared" si="6"/>
        <v/>
      </c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62"/>
      <c r="AH91" s="62"/>
      <c r="AI91" s="62"/>
      <c r="AJ91" s="62"/>
      <c r="AK91" s="62"/>
      <c r="AL91" s="62"/>
      <c r="AM91" s="62"/>
      <c r="AN91" s="62"/>
      <c r="AO91" s="62"/>
    </row>
    <row r="92" spans="1:41" ht="19.5" customHeight="1" x14ac:dyDescent="0.2">
      <c r="A92" s="15"/>
      <c r="B92" s="15"/>
      <c r="C92" s="15"/>
      <c r="D92" s="15"/>
      <c r="E92" s="15"/>
      <c r="F92" s="15"/>
      <c r="G92" s="15"/>
      <c r="H92" s="15"/>
      <c r="I92" s="190"/>
      <c r="J92" s="191"/>
      <c r="K92" s="191"/>
      <c r="L92" s="192"/>
      <c r="M92" s="185"/>
      <c r="N92" s="186"/>
      <c r="O92" s="187"/>
      <c r="P92" s="188"/>
      <c r="Q92" s="189" t="str">
        <f t="shared" si="6"/>
        <v/>
      </c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62"/>
      <c r="AH92" s="62"/>
      <c r="AI92" s="62"/>
      <c r="AJ92" s="62"/>
      <c r="AK92" s="62"/>
      <c r="AL92" s="62"/>
      <c r="AM92" s="62"/>
      <c r="AN92" s="62"/>
      <c r="AO92" s="62"/>
    </row>
    <row r="93" spans="1:41" ht="19.5" customHeight="1" x14ac:dyDescent="0.2">
      <c r="A93" s="15"/>
      <c r="B93" s="15"/>
      <c r="C93" s="15"/>
      <c r="D93" s="15"/>
      <c r="E93" s="15"/>
      <c r="F93" s="15"/>
      <c r="G93" s="15"/>
      <c r="H93" s="15"/>
      <c r="I93" s="193" t="s">
        <v>179</v>
      </c>
      <c r="J93" s="194"/>
      <c r="K93" s="194"/>
      <c r="L93" s="194"/>
      <c r="M93" s="194"/>
      <c r="N93" s="194"/>
      <c r="O93" s="195"/>
      <c r="P93" s="196"/>
      <c r="Q93" s="197">
        <f>IF(SUM(Q85:Q92)=0,0,SUM(Q85:Q92))</f>
        <v>0</v>
      </c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62"/>
      <c r="AH93" s="62"/>
      <c r="AI93" s="62"/>
      <c r="AJ93" s="62"/>
      <c r="AK93" s="62"/>
      <c r="AL93" s="62"/>
      <c r="AM93" s="62"/>
      <c r="AN93" s="62"/>
      <c r="AO93" s="62"/>
    </row>
    <row r="94" spans="1:41" ht="19.5" customHeight="1" x14ac:dyDescent="0.2">
      <c r="A94" s="15"/>
      <c r="B94" s="15"/>
      <c r="C94" s="15"/>
      <c r="D94" s="15"/>
      <c r="E94" s="15"/>
      <c r="F94" s="15"/>
      <c r="G94" s="15"/>
      <c r="H94" s="15"/>
      <c r="I94" s="198" t="s">
        <v>180</v>
      </c>
      <c r="J94" s="199"/>
      <c r="K94" s="199"/>
      <c r="L94" s="200"/>
      <c r="M94" s="201">
        <v>1</v>
      </c>
      <c r="N94" s="202" t="s">
        <v>181</v>
      </c>
      <c r="O94" s="203"/>
      <c r="P94" s="204"/>
      <c r="Q94" s="205">
        <f>IF(M94=0,"",ROUND(O94*M94,2)-P94)</f>
        <v>0</v>
      </c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62"/>
      <c r="AH94" s="62"/>
      <c r="AI94" s="62"/>
      <c r="AJ94" s="62"/>
      <c r="AK94" s="62"/>
      <c r="AL94" s="62"/>
      <c r="AM94" s="62"/>
      <c r="AN94" s="62"/>
      <c r="AO94" s="62"/>
    </row>
    <row r="95" spans="1:41" ht="19.5" customHeight="1" x14ac:dyDescent="0.2">
      <c r="A95" s="15"/>
      <c r="B95" s="15"/>
      <c r="C95" s="15"/>
      <c r="D95" s="15"/>
      <c r="E95" s="15"/>
      <c r="F95" s="15"/>
      <c r="G95" s="15"/>
      <c r="H95" s="15"/>
      <c r="I95" s="193" t="s">
        <v>182</v>
      </c>
      <c r="J95" s="194"/>
      <c r="K95" s="194"/>
      <c r="L95" s="194"/>
      <c r="M95" s="194"/>
      <c r="N95" s="194"/>
      <c r="O95" s="195"/>
      <c r="P95" s="196"/>
      <c r="Q95" s="197">
        <f>Q94+Q93</f>
        <v>0</v>
      </c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62"/>
      <c r="AH95" s="62"/>
      <c r="AI95" s="62"/>
      <c r="AJ95" s="62"/>
      <c r="AK95" s="62"/>
      <c r="AL95" s="62"/>
      <c r="AM95" s="62"/>
      <c r="AN95" s="62"/>
      <c r="AO95" s="62"/>
    </row>
    <row r="96" spans="1:41" ht="19.5" customHeight="1" x14ac:dyDescent="0.2">
      <c r="A96" s="15"/>
      <c r="B96" s="15"/>
      <c r="C96" s="15"/>
      <c r="D96" s="15"/>
      <c r="E96" s="15"/>
      <c r="F96" s="15"/>
      <c r="G96" s="15"/>
      <c r="H96" s="15"/>
      <c r="I96" s="19"/>
      <c r="J96" s="19"/>
      <c r="K96" s="19"/>
      <c r="L96" s="19"/>
      <c r="M96" s="19"/>
      <c r="N96" s="19"/>
      <c r="O96" s="19"/>
      <c r="P96" s="19"/>
      <c r="Q96" s="19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62"/>
      <c r="AH96" s="62"/>
      <c r="AI96" s="62"/>
      <c r="AJ96" s="62"/>
      <c r="AK96" s="62"/>
      <c r="AL96" s="62"/>
      <c r="AM96" s="62"/>
      <c r="AN96" s="62"/>
      <c r="AO96" s="62"/>
    </row>
    <row r="97" spans="1:41" ht="19.5" customHeight="1" x14ac:dyDescent="0.2">
      <c r="A97" s="15"/>
      <c r="B97" s="15"/>
      <c r="C97" s="15"/>
      <c r="D97" s="15"/>
      <c r="E97" s="15"/>
      <c r="F97" s="15"/>
      <c r="G97" s="15"/>
      <c r="H97" s="15"/>
      <c r="I97" s="19"/>
      <c r="J97" s="19"/>
      <c r="K97" s="19"/>
      <c r="L97" s="19"/>
      <c r="M97" s="19"/>
      <c r="N97" s="19"/>
      <c r="O97" s="19"/>
      <c r="P97" s="19"/>
      <c r="Q97" s="19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62"/>
      <c r="AH97" s="62"/>
      <c r="AI97" s="62"/>
      <c r="AJ97" s="62"/>
      <c r="AK97" s="62"/>
      <c r="AL97" s="62"/>
      <c r="AM97" s="62"/>
      <c r="AN97" s="62"/>
      <c r="AO97" s="62"/>
    </row>
    <row r="98" spans="1:41" ht="19.5" customHeight="1" x14ac:dyDescent="0.2">
      <c r="A98" s="15"/>
      <c r="B98" s="15"/>
      <c r="C98" s="15"/>
      <c r="D98" s="15"/>
      <c r="E98" s="15"/>
      <c r="F98" s="15"/>
      <c r="G98" s="15"/>
      <c r="H98" s="15"/>
      <c r="I98" s="19"/>
      <c r="J98" s="19"/>
      <c r="K98" s="19"/>
      <c r="L98" s="19"/>
      <c r="M98" s="206"/>
      <c r="N98" s="206"/>
      <c r="O98" s="206"/>
      <c r="P98" s="206"/>
      <c r="Q98" s="206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62"/>
      <c r="AH98" s="62"/>
      <c r="AI98" s="62"/>
      <c r="AJ98" s="62"/>
      <c r="AK98" s="62"/>
      <c r="AL98" s="62"/>
      <c r="AM98" s="62"/>
      <c r="AN98" s="62"/>
      <c r="AO98" s="62"/>
    </row>
    <row r="99" spans="1:41" ht="19.5" customHeight="1" x14ac:dyDescent="0.2">
      <c r="A99" s="15"/>
      <c r="B99" s="15"/>
      <c r="C99" s="15"/>
      <c r="D99" s="15"/>
      <c r="E99" s="15"/>
      <c r="F99" s="15"/>
      <c r="G99" s="15"/>
      <c r="H99" s="15"/>
      <c r="I99" s="207" t="s">
        <v>183</v>
      </c>
      <c r="J99" s="208"/>
      <c r="K99" s="209"/>
      <c r="L99" s="210" t="s">
        <v>184</v>
      </c>
      <c r="M99" s="211"/>
      <c r="N99" s="75"/>
      <c r="O99" s="75"/>
      <c r="P99" s="75"/>
      <c r="Q99" s="7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62"/>
      <c r="AH99" s="62"/>
      <c r="AI99" s="62"/>
      <c r="AJ99" s="62"/>
      <c r="AK99" s="62"/>
      <c r="AL99" s="62"/>
      <c r="AM99" s="62"/>
      <c r="AN99" s="62"/>
      <c r="AO99" s="62"/>
    </row>
    <row r="100" spans="1:41" ht="19.5" customHeight="1" x14ac:dyDescent="0.2">
      <c r="A100" s="15"/>
      <c r="B100" s="15"/>
      <c r="C100" s="15"/>
      <c r="D100" s="15"/>
      <c r="E100" s="15"/>
      <c r="F100" s="15"/>
      <c r="G100" s="15"/>
      <c r="H100" s="15"/>
      <c r="I100" s="212"/>
      <c r="J100" s="213"/>
      <c r="K100" s="214"/>
      <c r="L100" s="215" t="s">
        <v>185</v>
      </c>
      <c r="M100" s="216" t="s">
        <v>186</v>
      </c>
      <c r="N100" s="75"/>
      <c r="O100" s="75"/>
      <c r="P100" s="75"/>
      <c r="Q100" s="7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62"/>
      <c r="AH100" s="62"/>
      <c r="AI100" s="62"/>
      <c r="AJ100" s="62"/>
      <c r="AK100" s="62"/>
      <c r="AL100" s="62"/>
      <c r="AM100" s="62"/>
      <c r="AN100" s="62"/>
      <c r="AO100" s="62"/>
    </row>
    <row r="101" spans="1:41" ht="19.5" customHeight="1" x14ac:dyDescent="0.2">
      <c r="A101" s="15"/>
      <c r="B101" s="15"/>
      <c r="C101" s="15"/>
      <c r="D101" s="15"/>
      <c r="E101" s="15"/>
      <c r="F101" s="15"/>
      <c r="G101" s="15"/>
      <c r="H101" s="15"/>
      <c r="I101" s="217"/>
      <c r="J101" s="218"/>
      <c r="K101" s="219"/>
      <c r="L101" s="220"/>
      <c r="M101" s="221" t="str">
        <f t="shared" ref="M101:M108" si="7">IF(M85="","",M85)</f>
        <v/>
      </c>
      <c r="N101" s="75"/>
      <c r="O101" s="75"/>
      <c r="P101" s="75"/>
      <c r="Q101" s="7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62"/>
      <c r="AH101" s="62"/>
      <c r="AI101" s="62"/>
      <c r="AJ101" s="62"/>
      <c r="AK101" s="62"/>
      <c r="AL101" s="62"/>
      <c r="AM101" s="62"/>
      <c r="AN101" s="62"/>
      <c r="AO101" s="62"/>
    </row>
    <row r="102" spans="1:41" ht="19.5" customHeight="1" x14ac:dyDescent="0.2">
      <c r="A102" s="15"/>
      <c r="B102" s="15"/>
      <c r="C102" s="15"/>
      <c r="D102" s="15"/>
      <c r="E102" s="15"/>
      <c r="F102" s="15"/>
      <c r="G102" s="15"/>
      <c r="H102" s="15"/>
      <c r="I102" s="222"/>
      <c r="J102" s="223"/>
      <c r="K102" s="224"/>
      <c r="L102" s="225"/>
      <c r="M102" s="221" t="str">
        <f t="shared" si="7"/>
        <v/>
      </c>
      <c r="N102" s="75"/>
      <c r="O102" s="75"/>
      <c r="P102" s="75"/>
      <c r="Q102" s="7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62"/>
      <c r="AH102" s="62"/>
      <c r="AI102" s="62"/>
      <c r="AJ102" s="62"/>
      <c r="AK102" s="62"/>
      <c r="AL102" s="62"/>
      <c r="AM102" s="62"/>
      <c r="AN102" s="62"/>
      <c r="AO102" s="62"/>
    </row>
    <row r="103" spans="1:41" ht="19.5" customHeight="1" x14ac:dyDescent="0.2">
      <c r="A103" s="15"/>
      <c r="B103" s="15"/>
      <c r="C103" s="15"/>
      <c r="D103" s="15"/>
      <c r="E103" s="15"/>
      <c r="F103" s="15"/>
      <c r="G103" s="15"/>
      <c r="H103" s="15"/>
      <c r="I103" s="222"/>
      <c r="J103" s="223"/>
      <c r="K103" s="224"/>
      <c r="L103" s="225"/>
      <c r="M103" s="221" t="str">
        <f t="shared" si="7"/>
        <v/>
      </c>
      <c r="N103" s="75"/>
      <c r="O103" s="75"/>
      <c r="P103" s="75"/>
      <c r="Q103" s="7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62"/>
      <c r="AH103" s="62"/>
      <c r="AI103" s="62"/>
      <c r="AJ103" s="62"/>
      <c r="AK103" s="62"/>
      <c r="AL103" s="62"/>
      <c r="AM103" s="62"/>
      <c r="AN103" s="62"/>
      <c r="AO103" s="62"/>
    </row>
    <row r="104" spans="1:41" ht="19.5" customHeight="1" x14ac:dyDescent="0.2">
      <c r="A104" s="15"/>
      <c r="B104" s="15"/>
      <c r="C104" s="15"/>
      <c r="D104" s="15"/>
      <c r="E104" s="15"/>
      <c r="F104" s="15"/>
      <c r="G104" s="15"/>
      <c r="H104" s="15"/>
      <c r="I104" s="222"/>
      <c r="J104" s="223"/>
      <c r="K104" s="224"/>
      <c r="L104" s="225"/>
      <c r="M104" s="221" t="str">
        <f t="shared" si="7"/>
        <v/>
      </c>
      <c r="N104" s="75"/>
      <c r="O104" s="75"/>
      <c r="P104" s="75"/>
      <c r="Q104" s="7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62"/>
      <c r="AH104" s="62"/>
      <c r="AI104" s="62"/>
      <c r="AJ104" s="62"/>
      <c r="AK104" s="62"/>
      <c r="AL104" s="62"/>
      <c r="AM104" s="62"/>
      <c r="AN104" s="62"/>
      <c r="AO104" s="62"/>
    </row>
    <row r="105" spans="1:41" ht="19.5" customHeight="1" x14ac:dyDescent="0.2">
      <c r="A105" s="15"/>
      <c r="B105" s="15"/>
      <c r="C105" s="15"/>
      <c r="D105" s="15"/>
      <c r="E105" s="15"/>
      <c r="F105" s="15"/>
      <c r="G105" s="15"/>
      <c r="H105" s="15"/>
      <c r="I105" s="222" t="str">
        <f t="shared" ref="I105:I108" si="8">IF(I89="","",I89)</f>
        <v/>
      </c>
      <c r="J105" s="223"/>
      <c r="K105" s="224"/>
      <c r="L105" s="225"/>
      <c r="M105" s="221" t="str">
        <f t="shared" si="7"/>
        <v/>
      </c>
      <c r="N105" s="75"/>
      <c r="O105" s="75"/>
      <c r="P105" s="75"/>
      <c r="Q105" s="7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62"/>
      <c r="AH105" s="62"/>
      <c r="AI105" s="62"/>
      <c r="AJ105" s="62"/>
      <c r="AK105" s="62"/>
      <c r="AL105" s="62"/>
      <c r="AM105" s="62"/>
      <c r="AN105" s="62"/>
      <c r="AO105" s="62"/>
    </row>
    <row r="106" spans="1:41" ht="19.5" customHeight="1" x14ac:dyDescent="0.2">
      <c r="A106" s="15"/>
      <c r="B106" s="15"/>
      <c r="C106" s="15"/>
      <c r="D106" s="15"/>
      <c r="E106" s="15"/>
      <c r="F106" s="15"/>
      <c r="G106" s="15"/>
      <c r="H106" s="15"/>
      <c r="I106" s="222" t="str">
        <f t="shared" si="8"/>
        <v/>
      </c>
      <c r="J106" s="223"/>
      <c r="K106" s="224"/>
      <c r="L106" s="225"/>
      <c r="M106" s="221" t="str">
        <f t="shared" si="7"/>
        <v/>
      </c>
      <c r="N106" s="75"/>
      <c r="O106" s="75"/>
      <c r="P106" s="75"/>
      <c r="Q106" s="7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62"/>
      <c r="AH106" s="62"/>
      <c r="AI106" s="62"/>
      <c r="AJ106" s="62"/>
      <c r="AK106" s="62"/>
      <c r="AL106" s="62"/>
      <c r="AM106" s="62"/>
      <c r="AN106" s="62"/>
      <c r="AO106" s="62"/>
    </row>
    <row r="107" spans="1:41" ht="19.5" customHeight="1" x14ac:dyDescent="0.2">
      <c r="A107" s="15"/>
      <c r="B107" s="15"/>
      <c r="C107" s="15"/>
      <c r="D107" s="15"/>
      <c r="E107" s="15"/>
      <c r="F107" s="15"/>
      <c r="G107" s="15"/>
      <c r="H107" s="15"/>
      <c r="I107" s="222" t="str">
        <f t="shared" si="8"/>
        <v/>
      </c>
      <c r="J107" s="223"/>
      <c r="K107" s="224"/>
      <c r="L107" s="225"/>
      <c r="M107" s="221" t="str">
        <f t="shared" si="7"/>
        <v/>
      </c>
      <c r="N107" s="75"/>
      <c r="O107" s="75"/>
      <c r="P107" s="75"/>
      <c r="Q107" s="7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62"/>
      <c r="AH107" s="62"/>
      <c r="AI107" s="62"/>
      <c r="AJ107" s="62"/>
      <c r="AK107" s="62"/>
      <c r="AL107" s="62"/>
      <c r="AM107" s="62"/>
      <c r="AN107" s="62"/>
      <c r="AO107" s="62"/>
    </row>
    <row r="108" spans="1:41" ht="19.5" customHeight="1" x14ac:dyDescent="0.2">
      <c r="A108" s="15"/>
      <c r="B108" s="15"/>
      <c r="C108" s="15"/>
      <c r="D108" s="15"/>
      <c r="E108" s="15"/>
      <c r="F108" s="15"/>
      <c r="G108" s="15"/>
      <c r="H108" s="15"/>
      <c r="I108" s="222" t="str">
        <f t="shared" si="8"/>
        <v/>
      </c>
      <c r="J108" s="223"/>
      <c r="K108" s="224"/>
      <c r="L108" s="225"/>
      <c r="M108" s="221" t="str">
        <f t="shared" si="7"/>
        <v/>
      </c>
      <c r="N108" s="75"/>
      <c r="O108" s="75"/>
      <c r="P108" s="75"/>
      <c r="Q108" s="7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62"/>
      <c r="AH108" s="62"/>
      <c r="AI108" s="62"/>
      <c r="AJ108" s="62"/>
      <c r="AK108" s="62"/>
      <c r="AL108" s="62"/>
      <c r="AM108" s="62"/>
      <c r="AN108" s="62"/>
      <c r="AO108" s="62"/>
    </row>
    <row r="109" spans="1:41" ht="19.5" customHeight="1" x14ac:dyDescent="0.2">
      <c r="A109" s="15"/>
      <c r="B109" s="15"/>
      <c r="C109" s="15"/>
      <c r="D109" s="15"/>
      <c r="E109" s="15"/>
      <c r="F109" s="15"/>
      <c r="G109" s="15"/>
      <c r="H109" s="15"/>
      <c r="I109" s="75"/>
      <c r="J109" s="75"/>
      <c r="K109" s="75"/>
      <c r="L109" s="75"/>
      <c r="M109" s="31"/>
      <c r="N109" s="31"/>
      <c r="O109" s="31"/>
      <c r="P109" s="31"/>
      <c r="Q109" s="31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62"/>
      <c r="AH109" s="62"/>
      <c r="AI109" s="62"/>
      <c r="AJ109" s="62"/>
      <c r="AK109" s="62"/>
      <c r="AL109" s="62"/>
      <c r="AM109" s="62"/>
      <c r="AN109" s="62"/>
      <c r="AO109" s="62"/>
    </row>
    <row r="110" spans="1:41" ht="19.5" customHeight="1" x14ac:dyDescent="0.2">
      <c r="A110" s="15"/>
      <c r="B110" s="15"/>
      <c r="C110" s="15"/>
      <c r="D110" s="15"/>
      <c r="E110" s="15"/>
      <c r="F110" s="15"/>
      <c r="G110" s="15"/>
      <c r="H110" s="15"/>
      <c r="I110" s="75"/>
      <c r="J110" s="75"/>
      <c r="K110" s="75"/>
      <c r="L110" s="75"/>
      <c r="M110" s="75"/>
      <c r="N110" s="75"/>
      <c r="O110" s="75"/>
      <c r="P110" s="75"/>
      <c r="Q110" s="7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62"/>
      <c r="AH110" s="62"/>
      <c r="AI110" s="62"/>
      <c r="AJ110" s="62"/>
      <c r="AK110" s="62"/>
      <c r="AL110" s="62"/>
      <c r="AM110" s="62"/>
      <c r="AN110" s="62"/>
      <c r="AO110" s="62"/>
    </row>
    <row r="111" spans="1:41" ht="19.5" customHeight="1" x14ac:dyDescent="0.2">
      <c r="A111" s="15"/>
      <c r="B111" s="15"/>
      <c r="C111" s="15"/>
      <c r="D111" s="15"/>
      <c r="E111" s="15"/>
      <c r="F111" s="15"/>
      <c r="G111" s="15"/>
      <c r="H111" s="15"/>
      <c r="I111" s="226" t="s">
        <v>187</v>
      </c>
      <c r="J111" s="226"/>
      <c r="K111" s="226"/>
      <c r="L111" s="226"/>
      <c r="M111" s="226"/>
      <c r="N111" s="226"/>
      <c r="O111" s="226"/>
      <c r="P111" s="226"/>
      <c r="Q111" s="226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62"/>
      <c r="AH111" s="62"/>
      <c r="AI111" s="62"/>
      <c r="AJ111" s="62"/>
      <c r="AK111" s="62"/>
      <c r="AL111" s="62"/>
      <c r="AM111" s="62"/>
      <c r="AN111" s="62"/>
      <c r="AO111" s="62"/>
    </row>
    <row r="112" spans="1:41" ht="19.5" customHeight="1" x14ac:dyDescent="0.2">
      <c r="A112" s="15"/>
      <c r="B112" s="15"/>
      <c r="C112" s="15"/>
      <c r="D112" s="15"/>
      <c r="E112" s="15"/>
      <c r="F112" s="15"/>
      <c r="G112" s="15"/>
      <c r="H112" s="15"/>
      <c r="I112" s="74"/>
      <c r="J112" s="74"/>
      <c r="K112" s="74"/>
      <c r="L112" s="74"/>
      <c r="M112" s="74"/>
      <c r="N112" s="74"/>
      <c r="O112" s="74"/>
      <c r="P112" s="74"/>
      <c r="Q112" s="74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62"/>
      <c r="AH112" s="62"/>
      <c r="AI112" s="62"/>
      <c r="AJ112" s="62"/>
      <c r="AK112" s="62"/>
      <c r="AL112" s="62"/>
      <c r="AM112" s="62"/>
      <c r="AN112" s="62"/>
      <c r="AO112" s="62"/>
    </row>
    <row r="113" spans="1:41" ht="19.5" customHeight="1" x14ac:dyDescent="0.2">
      <c r="A113" s="15"/>
      <c r="B113" s="15"/>
      <c r="C113" s="15"/>
      <c r="D113" s="15"/>
      <c r="E113" s="15"/>
      <c r="F113" s="15"/>
      <c r="G113" s="15"/>
      <c r="H113" s="15"/>
      <c r="I113" s="75"/>
      <c r="J113" s="75"/>
      <c r="K113" s="75"/>
      <c r="L113" s="75"/>
      <c r="M113" s="75"/>
      <c r="N113" s="75"/>
      <c r="O113" s="75"/>
      <c r="P113" s="75"/>
      <c r="Q113" s="7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62"/>
      <c r="AH113" s="62"/>
      <c r="AI113" s="62"/>
      <c r="AJ113" s="62"/>
      <c r="AK113" s="62"/>
      <c r="AL113" s="62"/>
      <c r="AM113" s="62"/>
      <c r="AN113" s="62"/>
      <c r="AO113" s="62"/>
    </row>
    <row r="114" spans="1:41" ht="19.5" customHeight="1" x14ac:dyDescent="0.2">
      <c r="A114" s="15"/>
      <c r="B114" s="15"/>
      <c r="C114" s="15"/>
      <c r="D114" s="15"/>
      <c r="E114" s="15"/>
      <c r="F114" s="15"/>
      <c r="G114" s="15"/>
      <c r="H114" s="15"/>
      <c r="I114" s="75"/>
      <c r="J114" s="75"/>
      <c r="K114" s="75"/>
      <c r="L114" s="75"/>
      <c r="M114" s="227" t="e">
        <f>IF(#REF!="","",#REF!)</f>
        <v>#REF!</v>
      </c>
      <c r="N114" s="227"/>
      <c r="O114" s="228">
        <f ca="1">TODAY()</f>
        <v>43181</v>
      </c>
      <c r="P114" s="228"/>
      <c r="Q114" s="228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62"/>
      <c r="AH114" s="62"/>
      <c r="AI114" s="62"/>
      <c r="AJ114" s="62"/>
      <c r="AK114" s="62"/>
      <c r="AL114" s="62"/>
      <c r="AM114" s="62"/>
      <c r="AN114" s="62"/>
      <c r="AO114" s="62"/>
    </row>
    <row r="115" spans="1:41" ht="19.5" customHeight="1" x14ac:dyDescent="0.2">
      <c r="A115" s="15"/>
      <c r="B115" s="15"/>
      <c r="C115" s="15"/>
      <c r="D115" s="15"/>
      <c r="E115" s="15"/>
      <c r="F115" s="15"/>
      <c r="G115" s="15"/>
      <c r="H115" s="15"/>
      <c r="I115" s="75"/>
      <c r="J115" s="75"/>
      <c r="K115" s="75"/>
      <c r="L115" s="75"/>
      <c r="M115" s="19"/>
      <c r="N115" s="19"/>
      <c r="O115" s="19"/>
      <c r="P115" s="19"/>
      <c r="Q115" s="19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62"/>
      <c r="AH115" s="62"/>
      <c r="AI115" s="62"/>
      <c r="AJ115" s="62"/>
      <c r="AK115" s="62"/>
      <c r="AL115" s="62"/>
      <c r="AM115" s="62"/>
      <c r="AN115" s="62"/>
      <c r="AO115" s="62"/>
    </row>
    <row r="116" spans="1:41" ht="19.5" customHeight="1" x14ac:dyDescent="0.2">
      <c r="A116" s="15"/>
      <c r="B116" s="15"/>
      <c r="C116" s="15"/>
      <c r="D116" s="15"/>
      <c r="E116" s="15"/>
      <c r="F116" s="15"/>
      <c r="G116" s="15"/>
      <c r="H116" s="15"/>
      <c r="I116" s="75"/>
      <c r="J116" s="75"/>
      <c r="K116" s="75"/>
      <c r="L116" s="75"/>
      <c r="M116" s="19"/>
      <c r="N116" s="19"/>
      <c r="O116" s="19"/>
      <c r="P116" s="19"/>
      <c r="Q116" s="19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62"/>
      <c r="AH116" s="62"/>
      <c r="AI116" s="62"/>
      <c r="AJ116" s="62"/>
      <c r="AK116" s="62"/>
      <c r="AL116" s="62"/>
      <c r="AM116" s="62"/>
      <c r="AN116" s="62"/>
      <c r="AO116" s="62"/>
    </row>
    <row r="117" spans="1:41" ht="19.5" customHeight="1" x14ac:dyDescent="0.2">
      <c r="A117" s="15"/>
      <c r="B117" s="15"/>
      <c r="C117" s="15"/>
      <c r="D117" s="15"/>
      <c r="E117" s="15"/>
      <c r="F117" s="15"/>
      <c r="G117" s="15"/>
      <c r="H117" s="15"/>
      <c r="I117" s="75"/>
      <c r="J117" s="75"/>
      <c r="K117" s="75"/>
      <c r="L117" s="75"/>
      <c r="M117" s="229"/>
      <c r="N117" s="229"/>
      <c r="O117" s="229"/>
      <c r="P117" s="229"/>
      <c r="Q117" s="229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62"/>
      <c r="AH117" s="62"/>
      <c r="AI117" s="62"/>
      <c r="AJ117" s="62"/>
      <c r="AK117" s="62"/>
      <c r="AL117" s="62"/>
      <c r="AM117" s="62"/>
      <c r="AN117" s="62"/>
      <c r="AO117" s="62"/>
    </row>
    <row r="118" spans="1:41" ht="19.5" customHeight="1" x14ac:dyDescent="0.2">
      <c r="A118" s="15"/>
      <c r="B118" s="15"/>
      <c r="C118" s="15"/>
      <c r="D118" s="15"/>
      <c r="E118" s="15"/>
      <c r="F118" s="15"/>
      <c r="G118" s="15"/>
      <c r="H118" s="15"/>
      <c r="I118" s="75"/>
      <c r="J118" s="75"/>
      <c r="K118" s="75"/>
      <c r="L118" s="75"/>
      <c r="M118" s="206"/>
      <c r="N118" s="206"/>
      <c r="O118" s="206"/>
      <c r="P118" s="206"/>
      <c r="Q118" s="206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62"/>
      <c r="AH118" s="62"/>
      <c r="AI118" s="62"/>
      <c r="AJ118" s="62"/>
      <c r="AK118" s="62"/>
      <c r="AL118" s="62"/>
      <c r="AM118" s="62"/>
      <c r="AN118" s="62"/>
      <c r="AO118" s="62"/>
    </row>
    <row r="119" spans="1:41" ht="19.5" customHeight="1" x14ac:dyDescent="0.2">
      <c r="A119" s="15"/>
      <c r="B119" s="15"/>
      <c r="C119" s="15"/>
      <c r="D119" s="15"/>
      <c r="E119" s="15"/>
      <c r="F119" s="15"/>
      <c r="G119" s="15"/>
      <c r="H119" s="15"/>
      <c r="I119" s="75"/>
      <c r="J119" s="75"/>
      <c r="K119" s="75"/>
      <c r="L119" s="75"/>
      <c r="M119" s="19" t="e">
        <f>IF(#REF!="","",#REF!)</f>
        <v>#REF!</v>
      </c>
      <c r="N119" s="19"/>
      <c r="O119" s="19"/>
      <c r="P119" s="19"/>
      <c r="Q119" s="19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62"/>
      <c r="AH119" s="62"/>
      <c r="AI119" s="62"/>
      <c r="AJ119" s="62"/>
      <c r="AK119" s="62"/>
      <c r="AL119" s="62"/>
      <c r="AM119" s="62"/>
      <c r="AN119" s="62"/>
      <c r="AO119" s="62"/>
    </row>
    <row r="120" spans="1:41" ht="19.5" customHeight="1" x14ac:dyDescent="0.2">
      <c r="A120" s="15"/>
      <c r="B120" s="15"/>
      <c r="C120" s="15"/>
      <c r="D120" s="15"/>
      <c r="E120" s="15"/>
      <c r="F120" s="15"/>
      <c r="G120" s="15"/>
      <c r="H120" s="15"/>
      <c r="I120" s="24"/>
      <c r="J120" s="24"/>
      <c r="K120" s="24"/>
      <c r="L120" s="24"/>
      <c r="M120" s="24"/>
      <c r="N120" s="24"/>
      <c r="O120" s="24"/>
      <c r="P120" s="24"/>
      <c r="Q120" s="24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62"/>
      <c r="AH120" s="62"/>
      <c r="AI120" s="62"/>
      <c r="AJ120" s="62"/>
      <c r="AK120" s="62"/>
      <c r="AL120" s="62"/>
      <c r="AM120" s="62"/>
      <c r="AN120" s="62"/>
      <c r="AO120" s="62"/>
    </row>
    <row r="121" spans="1:41" ht="19.5" customHeight="1" x14ac:dyDescent="0.2">
      <c r="A121" s="15"/>
      <c r="B121" s="15"/>
      <c r="C121" s="15"/>
      <c r="D121" s="15"/>
      <c r="E121" s="15"/>
      <c r="F121" s="15"/>
      <c r="G121" s="15"/>
      <c r="H121" s="15"/>
      <c r="I121" s="24"/>
      <c r="J121" s="24"/>
      <c r="K121" s="24"/>
      <c r="L121" s="24"/>
      <c r="M121" s="24"/>
      <c r="N121" s="24"/>
      <c r="O121" s="24"/>
      <c r="P121" s="24"/>
      <c r="Q121" s="24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62"/>
      <c r="AH121" s="62"/>
      <c r="AI121" s="62"/>
      <c r="AJ121" s="62"/>
      <c r="AK121" s="62"/>
      <c r="AL121" s="62"/>
      <c r="AM121" s="62"/>
      <c r="AN121" s="62"/>
      <c r="AO121" s="62"/>
    </row>
    <row r="122" spans="1:41" ht="19.5" customHeight="1" x14ac:dyDescent="0.2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62"/>
      <c r="AH122" s="62"/>
      <c r="AI122" s="62"/>
      <c r="AJ122" s="62"/>
      <c r="AK122" s="62"/>
      <c r="AL122" s="62"/>
      <c r="AM122" s="62"/>
      <c r="AN122" s="62"/>
      <c r="AO122" s="62"/>
    </row>
    <row r="123" spans="1:41" ht="19.5" customHeight="1" x14ac:dyDescent="0.2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62"/>
      <c r="AH123" s="62"/>
      <c r="AI123" s="62"/>
      <c r="AJ123" s="62"/>
      <c r="AK123" s="62"/>
      <c r="AL123" s="62"/>
      <c r="AM123" s="62"/>
      <c r="AN123" s="62"/>
      <c r="AO123" s="62"/>
    </row>
    <row r="124" spans="1:41" ht="19.5" customHeight="1" x14ac:dyDescent="0.2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62"/>
      <c r="AH124" s="62"/>
      <c r="AI124" s="62"/>
      <c r="AJ124" s="62"/>
      <c r="AK124" s="62"/>
      <c r="AL124" s="62"/>
      <c r="AM124" s="62"/>
      <c r="AN124" s="62"/>
      <c r="AO124" s="62"/>
    </row>
    <row r="125" spans="1:41" ht="12.75" customHeight="1" x14ac:dyDescent="0.2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62"/>
      <c r="AH125" s="62"/>
      <c r="AI125" s="62"/>
      <c r="AJ125" s="62"/>
      <c r="AK125" s="62"/>
      <c r="AL125" s="62"/>
      <c r="AM125" s="62"/>
      <c r="AN125" s="62"/>
      <c r="AO125" s="62"/>
    </row>
    <row r="126" spans="1:41" ht="12.75" customHeight="1" x14ac:dyDescent="0.2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62"/>
      <c r="AH126" s="62"/>
      <c r="AI126" s="62"/>
      <c r="AJ126" s="62"/>
      <c r="AK126" s="62"/>
      <c r="AL126" s="62"/>
      <c r="AM126" s="62"/>
      <c r="AN126" s="62"/>
      <c r="AO126" s="62"/>
    </row>
    <row r="127" spans="1:41" ht="12.75" customHeight="1" x14ac:dyDescent="0.2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62"/>
      <c r="AH127" s="62"/>
      <c r="AI127" s="62"/>
      <c r="AJ127" s="62"/>
      <c r="AK127" s="62"/>
      <c r="AL127" s="62"/>
      <c r="AM127" s="62"/>
      <c r="AN127" s="62"/>
      <c r="AO127" s="62"/>
    </row>
    <row r="128" spans="1:41" ht="12.75" customHeight="1" x14ac:dyDescent="0.2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62"/>
      <c r="AH128" s="62"/>
      <c r="AI128" s="62"/>
      <c r="AJ128" s="62"/>
      <c r="AK128" s="62"/>
      <c r="AL128" s="62"/>
      <c r="AM128" s="62"/>
      <c r="AN128" s="62"/>
      <c r="AO128" s="62"/>
    </row>
    <row r="129" spans="1:41" ht="12.75" customHeight="1" x14ac:dyDescent="0.2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62"/>
      <c r="AH129" s="62"/>
      <c r="AI129" s="62"/>
      <c r="AJ129" s="62"/>
      <c r="AK129" s="62"/>
      <c r="AL129" s="62"/>
      <c r="AM129" s="62"/>
      <c r="AN129" s="62"/>
      <c r="AO129" s="62"/>
    </row>
    <row r="130" spans="1:41" ht="12.75" customHeight="1" x14ac:dyDescent="0.2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</row>
    <row r="131" spans="1:41" ht="12.75" customHeight="1" x14ac:dyDescent="0.2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</row>
    <row r="132" spans="1:41" ht="12.75" customHeight="1" x14ac:dyDescent="0.2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</row>
    <row r="133" spans="1:41" ht="12.75" customHeight="1" x14ac:dyDescent="0.2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</row>
    <row r="134" spans="1:41" ht="12.75" customHeight="1" x14ac:dyDescent="0.2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</row>
    <row r="135" spans="1:41" ht="12.75" customHeight="1" x14ac:dyDescent="0.2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</row>
    <row r="136" spans="1:41" ht="12.75" customHeight="1" x14ac:dyDescent="0.2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</row>
    <row r="137" spans="1:41" ht="12.75" customHeight="1" x14ac:dyDescent="0.2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</row>
    <row r="138" spans="1:41" ht="12.75" customHeight="1" x14ac:dyDescent="0.2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</row>
    <row r="139" spans="1:41" ht="12.75" customHeight="1" x14ac:dyDescent="0.2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</row>
    <row r="140" spans="1:41" ht="12.75" customHeight="1" x14ac:dyDescent="0.2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</row>
    <row r="141" spans="1:41" ht="12.75" customHeight="1" x14ac:dyDescent="0.2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</row>
    <row r="142" spans="1:41" ht="12.75" customHeight="1" x14ac:dyDescent="0.2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</row>
    <row r="143" spans="1:41" ht="12.75" customHeight="1" x14ac:dyDescent="0.2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</row>
    <row r="144" spans="1:41" ht="12.75" customHeight="1" x14ac:dyDescent="0.2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</row>
    <row r="145" spans="1:41" ht="12.75" customHeight="1" x14ac:dyDescent="0.2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</row>
    <row r="146" spans="1:41" ht="12.75" customHeight="1" x14ac:dyDescent="0.2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</row>
    <row r="147" spans="1:41" ht="12.75" customHeight="1" x14ac:dyDescent="0.2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</row>
    <row r="148" spans="1:41" ht="12.75" customHeight="1" x14ac:dyDescent="0.2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</row>
    <row r="149" spans="1:41" ht="12.75" customHeight="1" x14ac:dyDescent="0.2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</row>
    <row r="150" spans="1:41" ht="12.75" customHeight="1" x14ac:dyDescent="0.2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</row>
    <row r="151" spans="1:41" ht="12.75" customHeight="1" x14ac:dyDescent="0.2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</row>
    <row r="152" spans="1:41" ht="12.75" customHeight="1" x14ac:dyDescent="0.2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</row>
    <row r="153" spans="1:41" ht="12.75" customHeight="1" x14ac:dyDescent="0.2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</row>
    <row r="154" spans="1:41" ht="12.75" customHeight="1" x14ac:dyDescent="0.2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</row>
    <row r="155" spans="1:41" ht="12.75" customHeight="1" x14ac:dyDescent="0.2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</row>
    <row r="156" spans="1:41" ht="12.75" customHeight="1" x14ac:dyDescent="0.2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</row>
    <row r="157" spans="1:41" ht="12.75" customHeight="1" x14ac:dyDescent="0.2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</row>
    <row r="158" spans="1:41" ht="12.75" customHeight="1" x14ac:dyDescent="0.2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</row>
    <row r="159" spans="1:41" ht="12.75" customHeight="1" x14ac:dyDescent="0.2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</row>
    <row r="160" spans="1:41" ht="12.75" customHeight="1" x14ac:dyDescent="0.2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</row>
    <row r="161" spans="1:41" ht="12.7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</row>
    <row r="162" spans="1:41" ht="12.7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</row>
    <row r="163" spans="1:41" ht="12.75" customHeight="1" x14ac:dyDescent="0.2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</row>
    <row r="164" spans="1:41" ht="12.75" customHeight="1" x14ac:dyDescent="0.2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</row>
    <row r="165" spans="1:41" ht="12.75" customHeight="1" x14ac:dyDescent="0.2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62"/>
      <c r="AH165" s="62"/>
      <c r="AI165" s="62"/>
      <c r="AJ165" s="62"/>
      <c r="AK165" s="62"/>
      <c r="AL165" s="62"/>
      <c r="AM165" s="62"/>
      <c r="AN165" s="62"/>
      <c r="AO165" s="62"/>
    </row>
    <row r="166" spans="1:41" ht="12.75" customHeight="1" x14ac:dyDescent="0.2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</row>
    <row r="167" spans="1:41" ht="12.75" customHeight="1" x14ac:dyDescent="0.2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</row>
    <row r="168" spans="1:41" ht="12.75" customHeight="1" x14ac:dyDescent="0.2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</row>
    <row r="169" spans="1:41" ht="12.75" customHeight="1" x14ac:dyDescent="0.2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</row>
    <row r="170" spans="1:41" ht="12.75" customHeight="1" x14ac:dyDescent="0.2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</row>
    <row r="171" spans="1:41" ht="12.75" customHeight="1" x14ac:dyDescent="0.2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</row>
    <row r="172" spans="1:41" ht="12.75" customHeight="1" x14ac:dyDescent="0.2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</row>
    <row r="173" spans="1:41" ht="12.75" customHeight="1" x14ac:dyDescent="0.2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</row>
    <row r="174" spans="1:41" ht="12.75" customHeight="1" x14ac:dyDescent="0.2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</row>
    <row r="175" spans="1:41" ht="12.75" customHeight="1" x14ac:dyDescent="0.2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</row>
    <row r="176" spans="1:41" ht="12.75" customHeight="1" x14ac:dyDescent="0.2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</row>
    <row r="177" spans="1:41" ht="12.75" customHeight="1" x14ac:dyDescent="0.2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</row>
    <row r="178" spans="1:41" ht="12.75" customHeight="1" x14ac:dyDescent="0.2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</row>
    <row r="179" spans="1:41" ht="12.75" customHeight="1" x14ac:dyDescent="0.2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</row>
    <row r="180" spans="1:41" ht="12.75" customHeight="1" x14ac:dyDescent="0.2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</row>
    <row r="181" spans="1:41" ht="12.75" customHeight="1" x14ac:dyDescent="0.2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</row>
    <row r="182" spans="1:41" ht="12.75" customHeight="1" x14ac:dyDescent="0.2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</row>
    <row r="183" spans="1:41" ht="12.75" customHeight="1" x14ac:dyDescent="0.2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</row>
    <row r="184" spans="1:41" ht="12.75" customHeight="1" x14ac:dyDescent="0.2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</row>
    <row r="185" spans="1:41" ht="12.75" customHeight="1" x14ac:dyDescent="0.2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</row>
    <row r="186" spans="1:41" ht="12.7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</row>
    <row r="187" spans="1:41" ht="12.75" customHeight="1" x14ac:dyDescent="0.2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</row>
    <row r="188" spans="1:41" ht="12.75" customHeight="1" x14ac:dyDescent="0.2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</row>
    <row r="189" spans="1:41" ht="12.75" customHeight="1" x14ac:dyDescent="0.2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</row>
    <row r="190" spans="1:41" ht="12.75" customHeight="1" x14ac:dyDescent="0.2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</row>
    <row r="191" spans="1:41" ht="12.75" customHeight="1" x14ac:dyDescent="0.2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</row>
    <row r="192" spans="1:41" ht="12.75" customHeight="1" x14ac:dyDescent="0.2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</row>
    <row r="193" spans="1:41" ht="12.75" customHeight="1" x14ac:dyDescent="0.2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</row>
    <row r="194" spans="1:41" ht="12.75" customHeight="1" x14ac:dyDescent="0.2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</row>
    <row r="195" spans="1:41" ht="12.75" customHeight="1" x14ac:dyDescent="0.2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</row>
    <row r="196" spans="1:41" ht="12.75" customHeight="1" x14ac:dyDescent="0.2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</row>
    <row r="197" spans="1:41" ht="12.75" customHeight="1" x14ac:dyDescent="0.2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</row>
    <row r="198" spans="1:41" ht="12.75" customHeight="1" x14ac:dyDescent="0.2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</row>
    <row r="199" spans="1:41" ht="12.75" customHeight="1" x14ac:dyDescent="0.2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</row>
    <row r="200" spans="1:41" ht="12.75" customHeight="1" x14ac:dyDescent="0.2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</row>
    <row r="201" spans="1:41" ht="12.75" customHeight="1" x14ac:dyDescent="0.2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</row>
    <row r="202" spans="1:41" ht="12.75" customHeight="1" x14ac:dyDescent="0.2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</row>
    <row r="203" spans="1:41" ht="12.75" customHeight="1" x14ac:dyDescent="0.2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</row>
    <row r="204" spans="1:41" ht="12.75" customHeight="1" x14ac:dyDescent="0.2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</row>
    <row r="205" spans="1:41" ht="12.75" customHeight="1" x14ac:dyDescent="0.2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</row>
    <row r="206" spans="1:41" ht="12.75" customHeight="1" x14ac:dyDescent="0.2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</row>
    <row r="207" spans="1:41" ht="12.75" customHeight="1" x14ac:dyDescent="0.2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</row>
    <row r="208" spans="1:41" ht="12.75" customHeight="1" x14ac:dyDescent="0.2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</row>
    <row r="209" spans="1:41" ht="12.75" customHeight="1" x14ac:dyDescent="0.2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</row>
    <row r="210" spans="1:41" ht="12.75" customHeight="1" x14ac:dyDescent="0.2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</row>
    <row r="211" spans="1:41" ht="12.75" customHeight="1" x14ac:dyDescent="0.2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</row>
    <row r="212" spans="1:41" ht="12.75" customHeight="1" x14ac:dyDescent="0.2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</row>
    <row r="213" spans="1:41" ht="12.75" customHeight="1" x14ac:dyDescent="0.2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</row>
    <row r="214" spans="1:41" ht="12.75" customHeight="1" x14ac:dyDescent="0.2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</row>
    <row r="215" spans="1:41" ht="12.75" customHeight="1" x14ac:dyDescent="0.2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</row>
    <row r="216" spans="1:41" ht="12.75" customHeight="1" x14ac:dyDescent="0.2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</row>
    <row r="217" spans="1:41" ht="12.75" customHeight="1" x14ac:dyDescent="0.2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</row>
    <row r="218" spans="1:41" ht="12.7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</row>
    <row r="219" spans="1:41" ht="12.75" customHeight="1" x14ac:dyDescent="0.2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</row>
    <row r="220" spans="1:41" ht="12.75" customHeight="1" x14ac:dyDescent="0.2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</row>
    <row r="221" spans="1:41" ht="12.75" customHeight="1" x14ac:dyDescent="0.2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</row>
    <row r="222" spans="1:41" ht="12.75" customHeight="1" x14ac:dyDescent="0.2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</row>
    <row r="223" spans="1:41" ht="12.75" customHeight="1" x14ac:dyDescent="0.2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</row>
    <row r="224" spans="1:41" ht="12.75" customHeight="1" x14ac:dyDescent="0.2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</row>
    <row r="225" spans="1:41" ht="12.75" customHeight="1" x14ac:dyDescent="0.2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</row>
    <row r="226" spans="1:41" ht="12.75" customHeight="1" x14ac:dyDescent="0.2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</row>
    <row r="227" spans="1:41" ht="12.75" customHeight="1" x14ac:dyDescent="0.2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</row>
    <row r="228" spans="1:41" ht="12.75" customHeight="1" x14ac:dyDescent="0.2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</row>
    <row r="229" spans="1:41" ht="12.75" customHeight="1" x14ac:dyDescent="0.2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</row>
    <row r="230" spans="1:41" ht="12.75" customHeight="1" x14ac:dyDescent="0.2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</row>
    <row r="231" spans="1:41" ht="12.75" customHeight="1" x14ac:dyDescent="0.2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</row>
    <row r="232" spans="1:41" ht="12.75" customHeight="1" x14ac:dyDescent="0.2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</row>
    <row r="233" spans="1:41" ht="12.75" customHeight="1" x14ac:dyDescent="0.2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</row>
    <row r="234" spans="1:41" ht="12.7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</row>
    <row r="235" spans="1:41" ht="12.75" customHeight="1" x14ac:dyDescent="0.2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</row>
    <row r="236" spans="1:41" ht="12.75" customHeight="1" x14ac:dyDescent="0.2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</row>
    <row r="237" spans="1:41" ht="12.75" customHeight="1" x14ac:dyDescent="0.2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</row>
    <row r="238" spans="1:41" ht="12.75" customHeight="1" x14ac:dyDescent="0.2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</row>
    <row r="239" spans="1:41" ht="12.75" customHeight="1" x14ac:dyDescent="0.2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</row>
    <row r="240" spans="1:41" ht="12.75" customHeight="1" x14ac:dyDescent="0.2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</row>
    <row r="241" spans="1:41" ht="12.75" customHeight="1" x14ac:dyDescent="0.2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</row>
    <row r="242" spans="1:41" ht="12.75" customHeight="1" x14ac:dyDescent="0.2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</row>
    <row r="243" spans="1:41" ht="12.75" customHeight="1" x14ac:dyDescent="0.2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</row>
    <row r="244" spans="1:41" ht="12.75" customHeight="1" x14ac:dyDescent="0.2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</row>
    <row r="245" spans="1:41" ht="12.75" customHeight="1" x14ac:dyDescent="0.2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</row>
    <row r="246" spans="1:41" ht="12.75" customHeight="1" x14ac:dyDescent="0.2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</row>
    <row r="247" spans="1:41" ht="12.75" customHeight="1" x14ac:dyDescent="0.2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</row>
    <row r="248" spans="1:41" ht="12.75" customHeight="1" x14ac:dyDescent="0.2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</row>
    <row r="249" spans="1:41" ht="12.75" customHeight="1" x14ac:dyDescent="0.2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</row>
    <row r="250" spans="1:41" ht="12.7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</row>
    <row r="251" spans="1:41" ht="12.75" customHeight="1" x14ac:dyDescent="0.2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</row>
    <row r="252" spans="1:41" ht="12.75" customHeight="1" x14ac:dyDescent="0.2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</row>
    <row r="253" spans="1:41" ht="12.75" customHeight="1" x14ac:dyDescent="0.2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</row>
    <row r="254" spans="1:41" ht="12.75" customHeight="1" x14ac:dyDescent="0.2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</row>
    <row r="255" spans="1:41" ht="12.75" customHeight="1" x14ac:dyDescent="0.2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</row>
    <row r="256" spans="1:41" ht="12.75" customHeight="1" x14ac:dyDescent="0.2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</row>
    <row r="257" spans="1:41" ht="12.75" customHeight="1" x14ac:dyDescent="0.2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</row>
    <row r="258" spans="1:41" ht="12.75" customHeight="1" x14ac:dyDescent="0.2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</row>
    <row r="259" spans="1:41" ht="12.75" customHeight="1" x14ac:dyDescent="0.2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</row>
    <row r="260" spans="1:41" ht="12.75" customHeight="1" x14ac:dyDescent="0.2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</row>
    <row r="261" spans="1:41" ht="12.75" customHeight="1" x14ac:dyDescent="0.2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</row>
    <row r="262" spans="1:41" ht="12.75" customHeight="1" x14ac:dyDescent="0.2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</row>
    <row r="263" spans="1:41" ht="12.75" customHeight="1" x14ac:dyDescent="0.2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</row>
    <row r="264" spans="1:41" ht="12.75" customHeight="1" x14ac:dyDescent="0.2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</row>
    <row r="265" spans="1:41" ht="12.75" customHeight="1" x14ac:dyDescent="0.2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</row>
    <row r="266" spans="1:41" ht="12.75" customHeight="1" x14ac:dyDescent="0.2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</row>
    <row r="267" spans="1:41" ht="12.75" customHeight="1" x14ac:dyDescent="0.2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</row>
    <row r="268" spans="1:41" ht="12.75" customHeight="1" x14ac:dyDescent="0.2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</row>
    <row r="269" spans="1:41" ht="12.75" customHeight="1" x14ac:dyDescent="0.2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</row>
    <row r="270" spans="1:41" ht="12.75" customHeight="1" x14ac:dyDescent="0.2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</row>
    <row r="271" spans="1:41" ht="12.75" customHeight="1" x14ac:dyDescent="0.2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</row>
    <row r="272" spans="1:41" ht="12.75" customHeight="1" x14ac:dyDescent="0.2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</row>
    <row r="273" spans="1:41" ht="12.75" customHeight="1" x14ac:dyDescent="0.2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</row>
    <row r="274" spans="1:41" ht="12.75" customHeight="1" x14ac:dyDescent="0.2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</row>
    <row r="275" spans="1:41" ht="12.75" customHeight="1" x14ac:dyDescent="0.2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</row>
    <row r="276" spans="1:41" ht="12.75" customHeight="1" x14ac:dyDescent="0.2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</row>
    <row r="277" spans="1:41" ht="12.75" customHeight="1" x14ac:dyDescent="0.2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</row>
    <row r="278" spans="1:41" ht="12.75" customHeight="1" x14ac:dyDescent="0.2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</row>
    <row r="279" spans="1:41" ht="12.75" customHeight="1" x14ac:dyDescent="0.2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</row>
    <row r="280" spans="1:41" ht="12.75" customHeight="1" x14ac:dyDescent="0.2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</row>
    <row r="281" spans="1:41" ht="12.7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</row>
    <row r="282" spans="1:41" ht="12.7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</row>
    <row r="283" spans="1:41" ht="12.7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</row>
    <row r="284" spans="1:41" ht="12.7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</row>
    <row r="285" spans="1:41" ht="12.75" customHeight="1" x14ac:dyDescent="0.2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</row>
    <row r="286" spans="1:41" ht="12.75" customHeight="1" x14ac:dyDescent="0.2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</row>
    <row r="287" spans="1:41" ht="12.75" customHeight="1" x14ac:dyDescent="0.2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</row>
    <row r="288" spans="1:41" ht="12.75" customHeight="1" x14ac:dyDescent="0.2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</row>
    <row r="289" spans="1:41" ht="12.75" customHeight="1" x14ac:dyDescent="0.2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</row>
    <row r="290" spans="1:41" ht="12.75" customHeight="1" x14ac:dyDescent="0.2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</row>
    <row r="291" spans="1:41" ht="12.7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</row>
    <row r="292" spans="1:41" ht="12.7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</row>
    <row r="293" spans="1:41" ht="12.75" customHeight="1" x14ac:dyDescent="0.2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</row>
    <row r="294" spans="1:41" ht="12.75" customHeight="1" x14ac:dyDescent="0.2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</row>
    <row r="295" spans="1:41" ht="12.75" customHeight="1" x14ac:dyDescent="0.2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</row>
    <row r="296" spans="1:41" ht="12.75" customHeight="1" x14ac:dyDescent="0.2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</row>
    <row r="297" spans="1:41" ht="12.75" customHeight="1" x14ac:dyDescent="0.2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</row>
    <row r="298" spans="1:41" ht="12.75" customHeight="1" x14ac:dyDescent="0.2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</row>
    <row r="299" spans="1:41" ht="12.75" customHeight="1" x14ac:dyDescent="0.2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</row>
    <row r="300" spans="1:41" ht="12.75" customHeight="1" x14ac:dyDescent="0.2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</row>
    <row r="301" spans="1:41" ht="12.75" customHeight="1" x14ac:dyDescent="0.2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</row>
    <row r="302" spans="1:41" ht="12.75" customHeight="1" x14ac:dyDescent="0.2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</row>
    <row r="303" spans="1:41" ht="12.75" customHeight="1" x14ac:dyDescent="0.2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</row>
    <row r="304" spans="1:41" ht="12.75" customHeight="1" x14ac:dyDescent="0.2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41" ht="12.75" customHeight="1" x14ac:dyDescent="0.2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</row>
    <row r="306" spans="1:41" ht="12.75" customHeight="1" x14ac:dyDescent="0.2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</row>
    <row r="307" spans="1:41" ht="12.75" customHeight="1" x14ac:dyDescent="0.2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</row>
    <row r="308" spans="1:41" ht="12.75" customHeight="1" x14ac:dyDescent="0.2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</row>
    <row r="309" spans="1:41" ht="12.75" customHeight="1" x14ac:dyDescent="0.2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</row>
    <row r="310" spans="1:41" ht="12.75" customHeight="1" x14ac:dyDescent="0.2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</row>
    <row r="311" spans="1:41" ht="12.75" customHeight="1" x14ac:dyDescent="0.2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</row>
    <row r="312" spans="1:41" ht="12.75" customHeight="1" x14ac:dyDescent="0.2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</row>
    <row r="313" spans="1:41" ht="12.75" customHeight="1" x14ac:dyDescent="0.2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</row>
    <row r="314" spans="1:41" ht="12.75" customHeight="1" x14ac:dyDescent="0.2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</row>
    <row r="315" spans="1:41" ht="12.75" customHeight="1" x14ac:dyDescent="0.2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</row>
    <row r="316" spans="1:41" ht="12.75" customHeight="1" x14ac:dyDescent="0.2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  <c r="AO316" s="62"/>
    </row>
    <row r="317" spans="1:41" ht="12.75" customHeight="1" x14ac:dyDescent="0.2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  <c r="AO317" s="62"/>
    </row>
    <row r="318" spans="1:41" ht="12.75" customHeight="1" x14ac:dyDescent="0.2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  <c r="AO318" s="62"/>
    </row>
    <row r="319" spans="1:41" ht="12.75" customHeight="1" x14ac:dyDescent="0.2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  <c r="AO319" s="62"/>
    </row>
    <row r="320" spans="1:41" ht="12.75" customHeight="1" x14ac:dyDescent="0.2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</row>
    <row r="321" spans="1:41" ht="12.75" customHeight="1" x14ac:dyDescent="0.2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  <c r="AO321" s="62"/>
    </row>
    <row r="322" spans="1:41" ht="12.75" customHeight="1" x14ac:dyDescent="0.2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  <c r="AO322" s="62"/>
    </row>
    <row r="323" spans="1:41" ht="12.75" customHeight="1" x14ac:dyDescent="0.2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</row>
    <row r="324" spans="1:41" ht="12.75" customHeight="1" x14ac:dyDescent="0.2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  <c r="AO324" s="62"/>
    </row>
    <row r="325" spans="1:41" ht="12.75" customHeight="1" x14ac:dyDescent="0.2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  <c r="AO325" s="62"/>
    </row>
    <row r="326" spans="1:41" ht="12.75" customHeight="1" x14ac:dyDescent="0.2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  <c r="AO326" s="62"/>
    </row>
    <row r="327" spans="1:41" ht="12.75" customHeight="1" x14ac:dyDescent="0.2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  <c r="AO327" s="62"/>
    </row>
    <row r="328" spans="1:41" ht="12.75" customHeight="1" x14ac:dyDescent="0.2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  <c r="AO328" s="62"/>
    </row>
    <row r="329" spans="1:41" ht="12.75" customHeight="1" x14ac:dyDescent="0.2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</row>
    <row r="330" spans="1:41" ht="12.75" customHeight="1" x14ac:dyDescent="0.2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/>
    </row>
    <row r="331" spans="1:41" ht="12.75" customHeight="1" x14ac:dyDescent="0.2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  <c r="AO331" s="62"/>
    </row>
    <row r="332" spans="1:41" ht="12.75" customHeight="1" x14ac:dyDescent="0.2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  <c r="AO332" s="62"/>
    </row>
    <row r="333" spans="1:41" ht="12.75" customHeight="1" x14ac:dyDescent="0.2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  <c r="AO333" s="62"/>
    </row>
    <row r="334" spans="1:41" ht="12.75" customHeight="1" x14ac:dyDescent="0.2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</row>
    <row r="335" spans="1:41" ht="12.75" customHeight="1" x14ac:dyDescent="0.2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</row>
    <row r="336" spans="1:41" ht="12.75" customHeight="1" x14ac:dyDescent="0.2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  <c r="AO336" s="62"/>
    </row>
    <row r="337" spans="1:41" ht="12.75" customHeight="1" x14ac:dyDescent="0.2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</row>
    <row r="338" spans="1:41" ht="12.75" customHeight="1" x14ac:dyDescent="0.2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</row>
    <row r="339" spans="1:41" ht="12.75" customHeight="1" x14ac:dyDescent="0.2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</row>
    <row r="340" spans="1:41" ht="12.75" customHeight="1" x14ac:dyDescent="0.2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</row>
    <row r="341" spans="1:41" ht="12.75" customHeight="1" x14ac:dyDescent="0.2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  <c r="AO341" s="62"/>
    </row>
    <row r="342" spans="1:41" ht="12.75" customHeight="1" x14ac:dyDescent="0.2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</row>
    <row r="343" spans="1:41" ht="12.75" customHeight="1" x14ac:dyDescent="0.2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</row>
    <row r="344" spans="1:41" ht="12.75" customHeight="1" x14ac:dyDescent="0.2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  <c r="AO344" s="62"/>
    </row>
    <row r="345" spans="1:41" ht="12.75" customHeight="1" x14ac:dyDescent="0.2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  <c r="AO345" s="62"/>
    </row>
    <row r="346" spans="1:41" ht="12.75" customHeight="1" x14ac:dyDescent="0.2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</row>
    <row r="347" spans="1:41" ht="12.75" customHeight="1" x14ac:dyDescent="0.2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</row>
    <row r="348" spans="1:41" ht="12.75" customHeight="1" x14ac:dyDescent="0.2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</row>
    <row r="349" spans="1:41" ht="12.75" customHeight="1" x14ac:dyDescent="0.2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  <c r="AO349" s="62"/>
    </row>
    <row r="350" spans="1:41" ht="12.75" customHeight="1" x14ac:dyDescent="0.2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</row>
    <row r="351" spans="1:41" ht="12.75" customHeight="1" x14ac:dyDescent="0.2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  <c r="AO351" s="62"/>
    </row>
    <row r="352" spans="1:41" ht="12.75" customHeight="1" x14ac:dyDescent="0.2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</row>
    <row r="353" spans="1:41" ht="12.75" customHeight="1" x14ac:dyDescent="0.2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/>
    </row>
    <row r="354" spans="1:41" ht="12.75" customHeight="1" x14ac:dyDescent="0.2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  <c r="AO354" s="62"/>
    </row>
    <row r="355" spans="1:41" ht="12.75" customHeight="1" x14ac:dyDescent="0.2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</row>
    <row r="356" spans="1:41" ht="12.75" customHeight="1" x14ac:dyDescent="0.2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62"/>
    </row>
    <row r="357" spans="1:41" ht="12.75" customHeight="1" x14ac:dyDescent="0.2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  <c r="AO357" s="62"/>
    </row>
    <row r="358" spans="1:41" ht="12.75" customHeight="1" x14ac:dyDescent="0.2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</row>
    <row r="359" spans="1:41" ht="12.75" customHeight="1" x14ac:dyDescent="0.2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  <c r="AO359" s="62"/>
    </row>
    <row r="360" spans="1:41" ht="12.75" customHeight="1" x14ac:dyDescent="0.2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</row>
    <row r="361" spans="1:41" ht="12.75" customHeight="1" x14ac:dyDescent="0.2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</row>
    <row r="362" spans="1:41" ht="12.75" customHeight="1" x14ac:dyDescent="0.2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</row>
    <row r="363" spans="1:41" ht="12.75" customHeight="1" x14ac:dyDescent="0.2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</row>
    <row r="364" spans="1:41" ht="12.75" customHeight="1" x14ac:dyDescent="0.2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</row>
    <row r="365" spans="1:41" ht="12.75" customHeight="1" x14ac:dyDescent="0.2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</row>
    <row r="366" spans="1:41" ht="12.75" customHeight="1" x14ac:dyDescent="0.2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</row>
    <row r="367" spans="1:41" ht="12.75" customHeight="1" x14ac:dyDescent="0.2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</row>
    <row r="368" spans="1:41" ht="12.75" customHeight="1" x14ac:dyDescent="0.2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</row>
    <row r="369" spans="1:41" ht="12.75" customHeight="1" x14ac:dyDescent="0.2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</row>
    <row r="370" spans="1:41" ht="12.75" customHeight="1" x14ac:dyDescent="0.2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</row>
    <row r="371" spans="1:41" ht="12.75" customHeight="1" x14ac:dyDescent="0.2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  <c r="AO371" s="62"/>
    </row>
    <row r="372" spans="1:41" ht="12.75" customHeight="1" x14ac:dyDescent="0.2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  <c r="AO372" s="62"/>
    </row>
    <row r="373" spans="1:41" ht="12.75" customHeight="1" x14ac:dyDescent="0.2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/>
    </row>
    <row r="374" spans="1:41" ht="12.75" customHeight="1" x14ac:dyDescent="0.2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  <c r="AO374" s="62"/>
    </row>
    <row r="375" spans="1:41" ht="12.75" customHeight="1" x14ac:dyDescent="0.2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  <c r="AO375" s="62"/>
    </row>
    <row r="376" spans="1:41" ht="12.75" customHeight="1" x14ac:dyDescent="0.2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</row>
    <row r="377" spans="1:41" ht="12.75" customHeight="1" x14ac:dyDescent="0.2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</row>
    <row r="378" spans="1:41" ht="12.75" customHeight="1" x14ac:dyDescent="0.2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</row>
    <row r="379" spans="1:41" ht="12.75" customHeight="1" x14ac:dyDescent="0.2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  <c r="AO379" s="62"/>
    </row>
    <row r="380" spans="1:41" ht="12.75" customHeight="1" x14ac:dyDescent="0.2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  <c r="AO380" s="62"/>
    </row>
    <row r="381" spans="1:41" ht="12.75" customHeight="1" x14ac:dyDescent="0.2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</row>
    <row r="382" spans="1:41" ht="12.75" customHeight="1" x14ac:dyDescent="0.2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</row>
    <row r="383" spans="1:41" ht="12.75" customHeight="1" x14ac:dyDescent="0.2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41" ht="12.75" customHeight="1" x14ac:dyDescent="0.2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  <c r="AO384" s="62"/>
    </row>
    <row r="385" spans="1:41" ht="12.75" customHeight="1" x14ac:dyDescent="0.2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  <c r="AO385" s="62"/>
    </row>
    <row r="386" spans="1:41" ht="12.75" customHeight="1" x14ac:dyDescent="0.2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  <c r="AO386" s="62"/>
    </row>
    <row r="387" spans="1:41" ht="12.75" customHeight="1" x14ac:dyDescent="0.2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  <c r="AO387" s="62"/>
    </row>
    <row r="388" spans="1:41" ht="12.75" customHeight="1" x14ac:dyDescent="0.2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</row>
    <row r="389" spans="1:41" ht="12.75" customHeight="1" x14ac:dyDescent="0.2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</row>
    <row r="390" spans="1:41" ht="12.75" customHeight="1" x14ac:dyDescent="0.2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</row>
    <row r="391" spans="1:41" ht="12.75" customHeight="1" x14ac:dyDescent="0.2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  <c r="AO391" s="62"/>
    </row>
    <row r="392" spans="1:41" ht="12.75" customHeight="1" x14ac:dyDescent="0.2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</row>
    <row r="393" spans="1:41" ht="12.75" customHeight="1" x14ac:dyDescent="0.2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  <c r="AO393" s="62"/>
    </row>
    <row r="394" spans="1:41" ht="12.75" customHeight="1" x14ac:dyDescent="0.2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  <c r="AO394" s="62"/>
    </row>
    <row r="395" spans="1:41" ht="12.75" customHeight="1" x14ac:dyDescent="0.2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  <c r="AO395" s="62"/>
    </row>
    <row r="396" spans="1:41" ht="12.75" customHeight="1" x14ac:dyDescent="0.2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  <c r="AO396" s="62"/>
    </row>
    <row r="397" spans="1:41" ht="12.75" customHeight="1" x14ac:dyDescent="0.2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  <c r="AO397" s="62"/>
    </row>
    <row r="398" spans="1:41" ht="12.75" customHeight="1" x14ac:dyDescent="0.2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  <c r="AO398" s="62"/>
    </row>
    <row r="399" spans="1:41" ht="12.75" customHeight="1" x14ac:dyDescent="0.2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</row>
    <row r="400" spans="1:41" ht="12.75" customHeight="1" x14ac:dyDescent="0.2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</row>
    <row r="401" spans="1:41" ht="12.75" customHeight="1" x14ac:dyDescent="0.2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  <c r="AO401" s="62"/>
    </row>
    <row r="402" spans="1:41" ht="12.75" customHeight="1" x14ac:dyDescent="0.2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  <c r="AO402" s="62"/>
    </row>
    <row r="403" spans="1:41" ht="12.75" customHeight="1" x14ac:dyDescent="0.2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  <c r="AO403" s="62"/>
    </row>
    <row r="404" spans="1:41" ht="12.75" customHeight="1" x14ac:dyDescent="0.2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</row>
    <row r="405" spans="1:41" ht="12.75" customHeight="1" x14ac:dyDescent="0.2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  <c r="AO405" s="62"/>
    </row>
    <row r="406" spans="1:41" ht="12.75" customHeight="1" x14ac:dyDescent="0.2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  <c r="AO406" s="62"/>
    </row>
    <row r="407" spans="1:41" ht="12.75" customHeight="1" x14ac:dyDescent="0.2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  <c r="AO407" s="62"/>
    </row>
    <row r="408" spans="1:41" ht="12.75" customHeight="1" x14ac:dyDescent="0.2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</row>
    <row r="409" spans="1:41" ht="12.75" customHeight="1" x14ac:dyDescent="0.2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  <c r="AO409" s="62"/>
    </row>
    <row r="410" spans="1:41" ht="12.75" customHeight="1" x14ac:dyDescent="0.2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  <c r="AO410" s="62"/>
    </row>
    <row r="411" spans="1:41" ht="12.75" customHeight="1" x14ac:dyDescent="0.2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  <c r="AO411" s="62"/>
    </row>
    <row r="412" spans="1:41" ht="12.75" customHeight="1" x14ac:dyDescent="0.2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  <c r="AO412" s="62"/>
    </row>
    <row r="413" spans="1:41" ht="12.75" customHeight="1" x14ac:dyDescent="0.2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</row>
    <row r="414" spans="1:41" ht="12.75" customHeight="1" x14ac:dyDescent="0.2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</row>
    <row r="415" spans="1:41" ht="12.75" customHeight="1" x14ac:dyDescent="0.2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</row>
    <row r="416" spans="1:41" ht="12.75" customHeight="1" x14ac:dyDescent="0.2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</row>
    <row r="417" spans="1:41" ht="12.75" customHeight="1" x14ac:dyDescent="0.2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</row>
    <row r="418" spans="1:41" ht="12.75" customHeight="1" x14ac:dyDescent="0.2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</row>
    <row r="419" spans="1:41" ht="12.75" customHeight="1" x14ac:dyDescent="0.2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</row>
    <row r="420" spans="1:41" ht="12.75" customHeight="1" x14ac:dyDescent="0.2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  <c r="AO420" s="62"/>
    </row>
    <row r="421" spans="1:41" ht="12.75" customHeight="1" x14ac:dyDescent="0.2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  <c r="AO421" s="62"/>
    </row>
    <row r="422" spans="1:41" ht="12.75" customHeight="1" x14ac:dyDescent="0.2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</row>
    <row r="423" spans="1:41" ht="12.75" customHeight="1" x14ac:dyDescent="0.2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  <c r="AO423" s="62"/>
    </row>
    <row r="424" spans="1:41" ht="12.75" customHeight="1" x14ac:dyDescent="0.2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  <c r="AO424" s="62"/>
    </row>
    <row r="425" spans="1:41" ht="12.75" customHeight="1" x14ac:dyDescent="0.2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  <c r="AO425" s="62"/>
    </row>
    <row r="426" spans="1:41" ht="12.75" customHeight="1" x14ac:dyDescent="0.2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  <c r="AO426" s="62"/>
    </row>
    <row r="427" spans="1:41" ht="12.75" customHeight="1" x14ac:dyDescent="0.2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  <c r="AO427" s="62"/>
    </row>
    <row r="428" spans="1:41" ht="12.75" customHeight="1" x14ac:dyDescent="0.2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  <c r="AO428" s="62"/>
    </row>
    <row r="429" spans="1:41" ht="12.75" customHeight="1" x14ac:dyDescent="0.2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  <c r="AO429" s="62"/>
    </row>
    <row r="430" spans="1:41" ht="12.75" customHeight="1" x14ac:dyDescent="0.2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  <c r="AO430" s="62"/>
    </row>
    <row r="431" spans="1:41" ht="12.75" customHeight="1" x14ac:dyDescent="0.2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  <c r="AO431" s="62"/>
    </row>
    <row r="432" spans="1:41" ht="12.75" customHeight="1" x14ac:dyDescent="0.2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  <c r="AO432" s="62"/>
    </row>
    <row r="433" spans="1:41" ht="12.75" customHeight="1" x14ac:dyDescent="0.2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  <c r="AO433" s="62"/>
    </row>
    <row r="434" spans="1:41" ht="12.75" customHeight="1" x14ac:dyDescent="0.2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  <c r="AO434" s="62"/>
    </row>
    <row r="435" spans="1:41" ht="12.75" customHeight="1" x14ac:dyDescent="0.2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  <c r="AO435" s="62"/>
    </row>
    <row r="436" spans="1:41" ht="12.75" customHeight="1" x14ac:dyDescent="0.2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  <c r="AO436" s="62"/>
    </row>
    <row r="437" spans="1:41" ht="12.75" customHeight="1" x14ac:dyDescent="0.2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  <c r="AO437" s="62"/>
    </row>
    <row r="438" spans="1:41" ht="12.75" customHeight="1" x14ac:dyDescent="0.2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  <c r="AO438" s="62"/>
    </row>
    <row r="439" spans="1:41" ht="12.75" customHeight="1" x14ac:dyDescent="0.2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  <c r="AO439" s="62"/>
    </row>
    <row r="440" spans="1:41" ht="12.75" customHeight="1" x14ac:dyDescent="0.2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  <c r="AO440" s="62"/>
    </row>
    <row r="441" spans="1:41" ht="12.75" customHeight="1" x14ac:dyDescent="0.2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  <c r="AO441" s="62"/>
    </row>
    <row r="442" spans="1:41" ht="12.75" customHeight="1" x14ac:dyDescent="0.2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  <c r="AO442" s="62"/>
    </row>
    <row r="443" spans="1:41" ht="12.75" customHeight="1" x14ac:dyDescent="0.2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  <c r="AO443" s="62"/>
    </row>
    <row r="444" spans="1:41" ht="12.75" customHeight="1" x14ac:dyDescent="0.2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  <c r="AO444" s="62"/>
    </row>
    <row r="445" spans="1:41" ht="12.75" customHeight="1" x14ac:dyDescent="0.2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  <c r="AO445" s="62"/>
    </row>
    <row r="446" spans="1:41" ht="12.75" customHeight="1" x14ac:dyDescent="0.2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  <c r="AO446" s="62"/>
    </row>
    <row r="447" spans="1:41" ht="12.75" customHeight="1" x14ac:dyDescent="0.2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  <c r="AO447" s="62"/>
    </row>
    <row r="448" spans="1:41" ht="12.75" customHeight="1" x14ac:dyDescent="0.2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  <c r="AO448" s="62"/>
    </row>
    <row r="449" spans="1:41" ht="12.75" customHeight="1" x14ac:dyDescent="0.2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  <c r="AO449" s="62"/>
    </row>
    <row r="450" spans="1:41" ht="12.75" customHeight="1" x14ac:dyDescent="0.2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  <c r="AO450" s="62"/>
    </row>
    <row r="451" spans="1:41" ht="12.75" customHeight="1" x14ac:dyDescent="0.2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  <c r="AM451" s="62"/>
      <c r="AN451" s="62"/>
      <c r="AO451" s="62"/>
    </row>
    <row r="452" spans="1:41" ht="12.75" customHeight="1" x14ac:dyDescent="0.2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  <c r="AM452" s="62"/>
      <c r="AN452" s="62"/>
      <c r="AO452" s="62"/>
    </row>
    <row r="453" spans="1:41" ht="12.75" customHeight="1" x14ac:dyDescent="0.2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  <c r="AO453" s="62"/>
    </row>
    <row r="454" spans="1:41" ht="12.75" customHeight="1" x14ac:dyDescent="0.2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  <c r="AO454" s="62"/>
    </row>
    <row r="455" spans="1:41" ht="12.75" customHeight="1" x14ac:dyDescent="0.2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  <c r="AO455" s="62"/>
    </row>
    <row r="456" spans="1:41" ht="12.75" customHeight="1" x14ac:dyDescent="0.2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  <c r="AM456" s="62"/>
      <c r="AN456" s="62"/>
      <c r="AO456" s="62"/>
    </row>
    <row r="457" spans="1:41" ht="12.75" customHeight="1" x14ac:dyDescent="0.2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  <c r="AO457" s="62"/>
    </row>
    <row r="458" spans="1:41" ht="12.75" customHeight="1" x14ac:dyDescent="0.2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  <c r="AO458" s="62"/>
    </row>
    <row r="459" spans="1:41" ht="12.75" customHeight="1" x14ac:dyDescent="0.2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  <c r="AO459" s="62"/>
    </row>
    <row r="460" spans="1:41" ht="12.75" customHeight="1" x14ac:dyDescent="0.2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  <c r="AO460" s="62"/>
    </row>
    <row r="461" spans="1:41" ht="12.75" customHeight="1" x14ac:dyDescent="0.2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  <c r="AO461" s="62"/>
    </row>
    <row r="462" spans="1:41" ht="12.75" customHeight="1" x14ac:dyDescent="0.2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  <c r="AM462" s="62"/>
      <c r="AN462" s="62"/>
      <c r="AO462" s="62"/>
    </row>
    <row r="463" spans="1:41" ht="12.75" customHeight="1" x14ac:dyDescent="0.2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  <c r="AM463" s="62"/>
      <c r="AN463" s="62"/>
      <c r="AO463" s="62"/>
    </row>
    <row r="464" spans="1:41" ht="12.75" customHeight="1" x14ac:dyDescent="0.2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  <c r="AO464" s="62"/>
    </row>
    <row r="465" spans="1:41" ht="12.75" customHeight="1" x14ac:dyDescent="0.2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  <c r="AM465" s="62"/>
      <c r="AN465" s="62"/>
      <c r="AO465" s="62"/>
    </row>
    <row r="466" spans="1:41" ht="12.75" customHeight="1" x14ac:dyDescent="0.2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</row>
    <row r="467" spans="1:41" ht="12.75" customHeight="1" x14ac:dyDescent="0.2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</row>
    <row r="468" spans="1:41" ht="12.75" customHeight="1" x14ac:dyDescent="0.2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</row>
    <row r="469" spans="1:41" ht="12.75" customHeight="1" x14ac:dyDescent="0.2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  <c r="AO469" s="62"/>
    </row>
    <row r="470" spans="1:41" ht="12.75" customHeight="1" x14ac:dyDescent="0.2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  <c r="AO470" s="62"/>
    </row>
    <row r="471" spans="1:41" ht="12.75" customHeight="1" x14ac:dyDescent="0.2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  <c r="AM471" s="62"/>
      <c r="AN471" s="62"/>
      <c r="AO471" s="62"/>
    </row>
    <row r="472" spans="1:41" ht="12.75" customHeight="1" x14ac:dyDescent="0.2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  <c r="AM472" s="62"/>
      <c r="AN472" s="62"/>
      <c r="AO472" s="62"/>
    </row>
    <row r="473" spans="1:41" ht="12.75" customHeight="1" x14ac:dyDescent="0.2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  <c r="AO473" s="62"/>
    </row>
    <row r="474" spans="1:41" ht="12.75" customHeight="1" x14ac:dyDescent="0.2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  <c r="AM474" s="62"/>
      <c r="AN474" s="62"/>
      <c r="AO474" s="62"/>
    </row>
    <row r="475" spans="1:41" ht="12.75" customHeight="1" x14ac:dyDescent="0.2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  <c r="AM475" s="62"/>
      <c r="AN475" s="62"/>
      <c r="AO475" s="62"/>
    </row>
    <row r="476" spans="1:41" ht="12.75" customHeight="1" x14ac:dyDescent="0.2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</row>
    <row r="477" spans="1:41" ht="12.75" customHeight="1" x14ac:dyDescent="0.2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</row>
    <row r="478" spans="1:41" ht="12.75" customHeight="1" x14ac:dyDescent="0.2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</row>
    <row r="479" spans="1:41" ht="12.75" customHeight="1" x14ac:dyDescent="0.2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</row>
    <row r="480" spans="1:41" ht="12.75" customHeight="1" x14ac:dyDescent="0.2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</row>
    <row r="481" spans="1:41" ht="12.75" customHeight="1" x14ac:dyDescent="0.2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</row>
    <row r="482" spans="1:41" ht="12.75" customHeight="1" x14ac:dyDescent="0.2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</row>
    <row r="483" spans="1:41" ht="12.75" customHeight="1" x14ac:dyDescent="0.2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</row>
    <row r="484" spans="1:41" ht="12.75" customHeight="1" x14ac:dyDescent="0.2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</row>
    <row r="485" spans="1:41" ht="12.75" customHeight="1" x14ac:dyDescent="0.2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</row>
    <row r="486" spans="1:41" ht="12.75" customHeight="1" x14ac:dyDescent="0.2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</row>
    <row r="487" spans="1:41" ht="12.75" customHeight="1" x14ac:dyDescent="0.2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</row>
    <row r="488" spans="1:41" ht="12.75" customHeight="1" x14ac:dyDescent="0.2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</row>
    <row r="489" spans="1:41" ht="12.75" customHeight="1" x14ac:dyDescent="0.2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</row>
    <row r="490" spans="1:41" ht="12.75" customHeight="1" x14ac:dyDescent="0.2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  <c r="AM490" s="62"/>
      <c r="AN490" s="62"/>
      <c r="AO490" s="62"/>
    </row>
    <row r="491" spans="1:41" ht="12.75" customHeight="1" x14ac:dyDescent="0.2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  <c r="AM491" s="62"/>
      <c r="AN491" s="62"/>
      <c r="AO491" s="62"/>
    </row>
    <row r="492" spans="1:41" ht="12.75" customHeight="1" x14ac:dyDescent="0.2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  <c r="AO492" s="62"/>
    </row>
    <row r="493" spans="1:41" ht="12.75" customHeight="1" x14ac:dyDescent="0.2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  <c r="AM493" s="62"/>
      <c r="AN493" s="62"/>
      <c r="AO493" s="62"/>
    </row>
    <row r="494" spans="1:41" ht="12.75" customHeight="1" x14ac:dyDescent="0.2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  <c r="AO494" s="62"/>
    </row>
    <row r="495" spans="1:41" ht="12.75" customHeight="1" x14ac:dyDescent="0.2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  <c r="AM495" s="62"/>
      <c r="AN495" s="62"/>
      <c r="AO495" s="62"/>
    </row>
    <row r="496" spans="1:41" ht="12.75" customHeight="1" x14ac:dyDescent="0.2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</row>
    <row r="497" spans="1:41" ht="12.75" customHeight="1" x14ac:dyDescent="0.2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</row>
    <row r="498" spans="1:41" ht="12.75" customHeight="1" x14ac:dyDescent="0.2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</row>
    <row r="499" spans="1:41" ht="12.75" customHeight="1" x14ac:dyDescent="0.2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</row>
    <row r="500" spans="1:41" ht="12.75" customHeight="1" x14ac:dyDescent="0.2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</row>
    <row r="501" spans="1:41" ht="12.75" customHeight="1" x14ac:dyDescent="0.2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</row>
    <row r="502" spans="1:41" ht="12.75" customHeight="1" x14ac:dyDescent="0.2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</row>
    <row r="503" spans="1:41" ht="12.75" customHeight="1" x14ac:dyDescent="0.2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</row>
    <row r="504" spans="1:41" ht="12.75" customHeight="1" x14ac:dyDescent="0.2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</row>
    <row r="505" spans="1:41" ht="12.75" customHeight="1" x14ac:dyDescent="0.2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</row>
    <row r="506" spans="1:41" ht="12.75" customHeight="1" x14ac:dyDescent="0.2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</row>
    <row r="507" spans="1:41" ht="12.75" customHeight="1" x14ac:dyDescent="0.2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</row>
    <row r="508" spans="1:41" ht="12.75" customHeight="1" x14ac:dyDescent="0.2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</row>
    <row r="509" spans="1:41" ht="12.75" customHeight="1" x14ac:dyDescent="0.2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</row>
    <row r="510" spans="1:41" ht="12.75" customHeight="1" x14ac:dyDescent="0.2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</row>
    <row r="511" spans="1:41" ht="12.75" customHeight="1" x14ac:dyDescent="0.2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</row>
    <row r="512" spans="1:41" ht="12.75" customHeight="1" x14ac:dyDescent="0.2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</row>
    <row r="513" spans="1:41" ht="12.75" customHeight="1" x14ac:dyDescent="0.2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</row>
    <row r="514" spans="1:41" ht="12.75" customHeight="1" x14ac:dyDescent="0.2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</row>
    <row r="515" spans="1:41" ht="12.75" customHeight="1" x14ac:dyDescent="0.2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</row>
    <row r="516" spans="1:41" ht="12.75" customHeight="1" x14ac:dyDescent="0.2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</row>
    <row r="517" spans="1:41" ht="12.75" customHeight="1" x14ac:dyDescent="0.2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</row>
    <row r="518" spans="1:41" ht="12.75" customHeight="1" x14ac:dyDescent="0.2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</row>
    <row r="519" spans="1:41" ht="12.75" customHeight="1" x14ac:dyDescent="0.2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</row>
    <row r="520" spans="1:41" ht="12.75" customHeight="1" x14ac:dyDescent="0.2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</row>
    <row r="521" spans="1:41" ht="12.75" customHeight="1" x14ac:dyDescent="0.2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</row>
    <row r="522" spans="1:41" ht="12.75" customHeight="1" x14ac:dyDescent="0.2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</row>
    <row r="523" spans="1:41" ht="12.75" customHeight="1" x14ac:dyDescent="0.2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</row>
    <row r="524" spans="1:41" ht="12.75" customHeight="1" x14ac:dyDescent="0.2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</row>
    <row r="525" spans="1:41" ht="12.75" customHeight="1" x14ac:dyDescent="0.2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</row>
    <row r="526" spans="1:41" ht="12.75" customHeight="1" x14ac:dyDescent="0.2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</row>
    <row r="527" spans="1:41" ht="12.75" customHeight="1" x14ac:dyDescent="0.2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</row>
    <row r="528" spans="1:41" ht="12.75" customHeight="1" x14ac:dyDescent="0.2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</row>
    <row r="529" spans="1:41" ht="12.75" customHeight="1" x14ac:dyDescent="0.2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</row>
    <row r="530" spans="1:41" ht="12.75" customHeight="1" x14ac:dyDescent="0.2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</row>
    <row r="531" spans="1:41" ht="12.75" customHeight="1" x14ac:dyDescent="0.2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</row>
    <row r="532" spans="1:41" ht="12.75" customHeight="1" x14ac:dyDescent="0.2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</row>
    <row r="533" spans="1:41" ht="12.75" customHeight="1" x14ac:dyDescent="0.2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</row>
    <row r="534" spans="1:41" ht="12.75" customHeight="1" x14ac:dyDescent="0.2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</row>
    <row r="535" spans="1:41" ht="12.75" customHeight="1" x14ac:dyDescent="0.2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</row>
    <row r="536" spans="1:41" ht="12.75" customHeight="1" x14ac:dyDescent="0.2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</row>
    <row r="537" spans="1:41" ht="12.75" customHeight="1" x14ac:dyDescent="0.2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</row>
    <row r="538" spans="1:41" ht="12.75" customHeight="1" x14ac:dyDescent="0.2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</row>
    <row r="539" spans="1:41" ht="12.75" customHeight="1" x14ac:dyDescent="0.2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</row>
    <row r="540" spans="1:41" ht="12.75" customHeight="1" x14ac:dyDescent="0.2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</row>
    <row r="541" spans="1:41" ht="12.75" customHeight="1" x14ac:dyDescent="0.2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</row>
    <row r="542" spans="1:41" ht="12.75" customHeight="1" x14ac:dyDescent="0.2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</row>
    <row r="543" spans="1:41" ht="12.75" customHeight="1" x14ac:dyDescent="0.2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</row>
    <row r="544" spans="1:41" ht="12.75" customHeight="1" x14ac:dyDescent="0.2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</row>
    <row r="545" spans="1:41" ht="12.75" customHeight="1" x14ac:dyDescent="0.2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</row>
    <row r="546" spans="1:41" ht="12.75" customHeight="1" x14ac:dyDescent="0.2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</row>
    <row r="547" spans="1:41" ht="12.75" customHeight="1" x14ac:dyDescent="0.2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</row>
    <row r="548" spans="1:41" ht="12.75" customHeight="1" x14ac:dyDescent="0.2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</row>
    <row r="549" spans="1:41" ht="12.75" customHeight="1" x14ac:dyDescent="0.2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</row>
    <row r="550" spans="1:41" ht="12.75" customHeight="1" x14ac:dyDescent="0.2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</row>
    <row r="551" spans="1:41" ht="12.75" customHeight="1" x14ac:dyDescent="0.2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</row>
    <row r="552" spans="1:41" ht="12.75" customHeight="1" x14ac:dyDescent="0.2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</row>
    <row r="553" spans="1:41" ht="12.75" customHeight="1" x14ac:dyDescent="0.2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</row>
    <row r="554" spans="1:41" ht="12.75" customHeight="1" x14ac:dyDescent="0.2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</row>
    <row r="555" spans="1:41" ht="12.75" customHeight="1" x14ac:dyDescent="0.2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</row>
    <row r="556" spans="1:41" ht="12.75" customHeight="1" x14ac:dyDescent="0.2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</row>
    <row r="557" spans="1:41" ht="12.75" customHeight="1" x14ac:dyDescent="0.2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</row>
    <row r="558" spans="1:41" ht="12.75" customHeight="1" x14ac:dyDescent="0.2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</row>
    <row r="559" spans="1:41" ht="12.75" customHeight="1" x14ac:dyDescent="0.2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</row>
    <row r="560" spans="1:41" ht="12.75" customHeight="1" x14ac:dyDescent="0.2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</row>
    <row r="561" spans="1:41" ht="12.75" customHeight="1" x14ac:dyDescent="0.2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</row>
    <row r="562" spans="1:41" ht="12.75" customHeight="1" x14ac:dyDescent="0.2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</row>
    <row r="563" spans="1:41" ht="12.75" customHeight="1" x14ac:dyDescent="0.2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</row>
    <row r="564" spans="1:41" ht="12.75" customHeight="1" x14ac:dyDescent="0.2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</row>
    <row r="565" spans="1:41" ht="12.75" customHeight="1" x14ac:dyDescent="0.2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</row>
    <row r="566" spans="1:41" ht="12.75" customHeight="1" x14ac:dyDescent="0.2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</row>
    <row r="567" spans="1:41" ht="12.75" customHeight="1" x14ac:dyDescent="0.2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</row>
    <row r="568" spans="1:41" ht="12.75" customHeight="1" x14ac:dyDescent="0.2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</row>
    <row r="569" spans="1:41" ht="12.75" customHeight="1" x14ac:dyDescent="0.2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</row>
    <row r="570" spans="1:41" ht="12.75" customHeight="1" x14ac:dyDescent="0.2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</row>
    <row r="571" spans="1:41" ht="12.75" customHeight="1" x14ac:dyDescent="0.2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</row>
    <row r="572" spans="1:41" ht="12.75" customHeight="1" x14ac:dyDescent="0.2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</row>
    <row r="573" spans="1:41" ht="12.75" customHeight="1" x14ac:dyDescent="0.2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</row>
    <row r="574" spans="1:41" ht="12.75" customHeight="1" x14ac:dyDescent="0.2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</row>
    <row r="575" spans="1:41" ht="12.75" customHeight="1" x14ac:dyDescent="0.2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</row>
    <row r="576" spans="1:41" ht="12.75" customHeight="1" x14ac:dyDescent="0.2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</row>
    <row r="577" spans="1:41" ht="12.75" customHeight="1" x14ac:dyDescent="0.2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</row>
    <row r="578" spans="1:41" ht="12.75" customHeight="1" x14ac:dyDescent="0.2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</row>
    <row r="579" spans="1:41" ht="12.75" customHeight="1" x14ac:dyDescent="0.2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</row>
    <row r="580" spans="1:41" ht="12.75" customHeight="1" x14ac:dyDescent="0.2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</row>
    <row r="581" spans="1:41" ht="12.75" customHeight="1" x14ac:dyDescent="0.2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</row>
    <row r="582" spans="1:41" ht="12.75" customHeight="1" x14ac:dyDescent="0.2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</row>
    <row r="583" spans="1:41" ht="12.75" customHeight="1" x14ac:dyDescent="0.2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</row>
    <row r="584" spans="1:41" ht="12.75" customHeight="1" x14ac:dyDescent="0.2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</row>
    <row r="585" spans="1:41" ht="12.75" customHeight="1" x14ac:dyDescent="0.2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</row>
    <row r="586" spans="1:41" ht="12.75" customHeight="1" x14ac:dyDescent="0.2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</row>
    <row r="587" spans="1:41" ht="12.75" customHeight="1" x14ac:dyDescent="0.2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</row>
    <row r="588" spans="1:41" ht="12.75" customHeight="1" x14ac:dyDescent="0.2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</row>
    <row r="589" spans="1:41" ht="12.75" customHeight="1" x14ac:dyDescent="0.2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</row>
    <row r="590" spans="1:41" ht="12.75" customHeight="1" x14ac:dyDescent="0.2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</row>
    <row r="591" spans="1:41" ht="12.75" customHeight="1" x14ac:dyDescent="0.2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</row>
    <row r="592" spans="1:41" ht="12.75" customHeight="1" x14ac:dyDescent="0.2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</row>
    <row r="593" spans="1:41" ht="12.75" customHeight="1" x14ac:dyDescent="0.2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</row>
    <row r="594" spans="1:41" ht="12.75" customHeight="1" x14ac:dyDescent="0.2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</row>
    <row r="595" spans="1:41" ht="12.75" customHeight="1" x14ac:dyDescent="0.2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</row>
    <row r="596" spans="1:41" ht="12.75" customHeight="1" x14ac:dyDescent="0.2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</row>
    <row r="597" spans="1:41" ht="12.75" customHeight="1" x14ac:dyDescent="0.2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</row>
    <row r="598" spans="1:41" ht="12.75" customHeight="1" x14ac:dyDescent="0.2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</row>
    <row r="599" spans="1:41" ht="12.75" customHeight="1" x14ac:dyDescent="0.2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</row>
    <row r="600" spans="1:41" ht="12.75" customHeight="1" x14ac:dyDescent="0.2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</row>
    <row r="601" spans="1:41" ht="12.75" customHeight="1" x14ac:dyDescent="0.2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</row>
    <row r="602" spans="1:41" ht="12.75" customHeight="1" x14ac:dyDescent="0.2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</row>
    <row r="603" spans="1:41" ht="12.75" customHeight="1" x14ac:dyDescent="0.2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</row>
    <row r="604" spans="1:41" ht="12.75" customHeight="1" x14ac:dyDescent="0.2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</row>
    <row r="605" spans="1:41" ht="12.75" customHeight="1" x14ac:dyDescent="0.2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</row>
    <row r="606" spans="1:41" ht="12.75" customHeight="1" x14ac:dyDescent="0.2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</row>
    <row r="607" spans="1:41" ht="12.75" customHeight="1" x14ac:dyDescent="0.2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</row>
    <row r="608" spans="1:41" ht="12.75" customHeight="1" x14ac:dyDescent="0.2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</row>
    <row r="609" spans="1:41" ht="12.75" customHeight="1" x14ac:dyDescent="0.2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</row>
    <row r="610" spans="1:41" ht="12.75" customHeight="1" x14ac:dyDescent="0.2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</row>
    <row r="611" spans="1:41" ht="12.75" customHeight="1" x14ac:dyDescent="0.2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</row>
    <row r="612" spans="1:41" ht="12.75" customHeight="1" x14ac:dyDescent="0.2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41" ht="12.75" customHeight="1" x14ac:dyDescent="0.2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</row>
    <row r="614" spans="1:41" ht="12.75" customHeight="1" x14ac:dyDescent="0.2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</row>
    <row r="615" spans="1:41" ht="12.75" customHeight="1" x14ac:dyDescent="0.2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</row>
    <row r="616" spans="1:41" ht="12.75" customHeight="1" x14ac:dyDescent="0.2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</row>
    <row r="617" spans="1:41" ht="12.75" customHeight="1" x14ac:dyDescent="0.2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</row>
    <row r="618" spans="1:41" ht="12.75" customHeight="1" x14ac:dyDescent="0.2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</row>
    <row r="619" spans="1:41" ht="12.75" customHeight="1" x14ac:dyDescent="0.2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</row>
    <row r="620" spans="1:41" ht="12.75" customHeight="1" x14ac:dyDescent="0.2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</row>
    <row r="621" spans="1:41" ht="12.75" customHeight="1" x14ac:dyDescent="0.2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</row>
    <row r="622" spans="1:41" ht="12.75" customHeight="1" x14ac:dyDescent="0.2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</row>
    <row r="623" spans="1:41" ht="12.75" customHeight="1" x14ac:dyDescent="0.2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</row>
    <row r="624" spans="1:41" ht="12.75" customHeight="1" x14ac:dyDescent="0.2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</row>
    <row r="625" spans="1:41" ht="12.75" customHeight="1" x14ac:dyDescent="0.2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</row>
    <row r="626" spans="1:41" ht="12.75" customHeight="1" x14ac:dyDescent="0.2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</row>
    <row r="627" spans="1:41" ht="12.75" customHeight="1" x14ac:dyDescent="0.2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</row>
    <row r="628" spans="1:41" ht="12.75" customHeight="1" x14ac:dyDescent="0.2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</row>
    <row r="629" spans="1:41" ht="12.75" customHeight="1" x14ac:dyDescent="0.2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</row>
    <row r="630" spans="1:41" ht="12.75" customHeight="1" x14ac:dyDescent="0.2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</row>
    <row r="631" spans="1:41" ht="12.75" customHeight="1" x14ac:dyDescent="0.2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</row>
    <row r="632" spans="1:41" ht="12.75" customHeight="1" x14ac:dyDescent="0.2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</row>
    <row r="633" spans="1:41" ht="12.75" customHeight="1" x14ac:dyDescent="0.2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</row>
    <row r="634" spans="1:41" ht="12.75" customHeight="1" x14ac:dyDescent="0.2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</row>
    <row r="635" spans="1:41" ht="12.75" customHeight="1" x14ac:dyDescent="0.2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</row>
    <row r="636" spans="1:41" ht="12.75" customHeight="1" x14ac:dyDescent="0.2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</row>
    <row r="637" spans="1:41" ht="12.75" customHeight="1" x14ac:dyDescent="0.2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</row>
    <row r="638" spans="1:41" ht="12.75" customHeight="1" x14ac:dyDescent="0.2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</row>
    <row r="639" spans="1:41" ht="12.75" customHeight="1" x14ac:dyDescent="0.2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</row>
    <row r="640" spans="1:41" ht="12.75" customHeight="1" x14ac:dyDescent="0.2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</row>
    <row r="641" spans="1:41" ht="12.75" customHeight="1" x14ac:dyDescent="0.2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</row>
    <row r="642" spans="1:41" ht="12.75" customHeight="1" x14ac:dyDescent="0.2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</row>
    <row r="643" spans="1:41" ht="12.75" customHeight="1" x14ac:dyDescent="0.2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</row>
    <row r="644" spans="1:41" ht="12.75" customHeight="1" x14ac:dyDescent="0.2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</row>
    <row r="645" spans="1:41" ht="12.75" customHeight="1" x14ac:dyDescent="0.2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</row>
    <row r="646" spans="1:41" ht="12.75" customHeight="1" x14ac:dyDescent="0.2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</row>
    <row r="647" spans="1:41" ht="12.75" customHeight="1" x14ac:dyDescent="0.2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</row>
    <row r="648" spans="1:41" ht="12.75" customHeight="1" x14ac:dyDescent="0.2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</row>
    <row r="649" spans="1:41" ht="12.75" customHeight="1" x14ac:dyDescent="0.2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</row>
    <row r="650" spans="1:41" ht="12.75" customHeight="1" x14ac:dyDescent="0.2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</row>
    <row r="651" spans="1:41" ht="12.75" customHeight="1" x14ac:dyDescent="0.2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</row>
    <row r="652" spans="1:41" ht="12.75" customHeight="1" x14ac:dyDescent="0.2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</row>
    <row r="653" spans="1:41" ht="12.75" customHeight="1" x14ac:dyDescent="0.2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</row>
    <row r="654" spans="1:41" ht="12.75" customHeight="1" x14ac:dyDescent="0.2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</row>
    <row r="655" spans="1:41" ht="12.75" customHeight="1" x14ac:dyDescent="0.2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</row>
    <row r="656" spans="1:41" ht="12.75" customHeight="1" x14ac:dyDescent="0.2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</row>
    <row r="657" spans="1:41" ht="12.75" customHeight="1" x14ac:dyDescent="0.2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</row>
    <row r="658" spans="1:41" ht="12.75" customHeight="1" x14ac:dyDescent="0.2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62"/>
      <c r="AH658" s="62"/>
      <c r="AI658" s="62"/>
      <c r="AJ658" s="62"/>
      <c r="AK658" s="62"/>
      <c r="AL658" s="62"/>
      <c r="AM658" s="62"/>
      <c r="AN658" s="62"/>
      <c r="AO658" s="62"/>
    </row>
    <row r="659" spans="1:41" ht="12.75" customHeight="1" x14ac:dyDescent="0.2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62"/>
      <c r="AH659" s="62"/>
      <c r="AI659" s="62"/>
      <c r="AJ659" s="62"/>
      <c r="AK659" s="62"/>
      <c r="AL659" s="62"/>
      <c r="AM659" s="62"/>
      <c r="AN659" s="62"/>
      <c r="AO659" s="62"/>
    </row>
    <row r="660" spans="1:41" ht="12.75" customHeight="1" x14ac:dyDescent="0.2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62"/>
      <c r="AH660" s="62"/>
      <c r="AI660" s="62"/>
      <c r="AJ660" s="62"/>
      <c r="AK660" s="62"/>
      <c r="AL660" s="62"/>
      <c r="AM660" s="62"/>
      <c r="AN660" s="62"/>
      <c r="AO660" s="62"/>
    </row>
    <row r="661" spans="1:41" ht="12.75" customHeight="1" x14ac:dyDescent="0.2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62"/>
      <c r="AH661" s="62"/>
      <c r="AI661" s="62"/>
      <c r="AJ661" s="62"/>
      <c r="AK661" s="62"/>
      <c r="AL661" s="62"/>
      <c r="AM661" s="62"/>
      <c r="AN661" s="62"/>
      <c r="AO661" s="62"/>
    </row>
    <row r="662" spans="1:41" ht="12.75" customHeight="1" x14ac:dyDescent="0.2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62"/>
      <c r="AH662" s="62"/>
      <c r="AI662" s="62"/>
      <c r="AJ662" s="62"/>
      <c r="AK662" s="62"/>
      <c r="AL662" s="62"/>
      <c r="AM662" s="62"/>
      <c r="AN662" s="62"/>
      <c r="AO662" s="62"/>
    </row>
    <row r="663" spans="1:41" ht="12.75" customHeight="1" x14ac:dyDescent="0.2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62"/>
      <c r="AH663" s="62"/>
      <c r="AI663" s="62"/>
      <c r="AJ663" s="62"/>
      <c r="AK663" s="62"/>
      <c r="AL663" s="62"/>
      <c r="AM663" s="62"/>
      <c r="AN663" s="62"/>
      <c r="AO663" s="62"/>
    </row>
    <row r="664" spans="1:41" ht="12.75" customHeight="1" x14ac:dyDescent="0.2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62"/>
      <c r="AH664" s="62"/>
      <c r="AI664" s="62"/>
      <c r="AJ664" s="62"/>
      <c r="AK664" s="62"/>
      <c r="AL664" s="62"/>
      <c r="AM664" s="62"/>
      <c r="AN664" s="62"/>
      <c r="AO664" s="62"/>
    </row>
    <row r="665" spans="1:41" ht="12.75" customHeight="1" x14ac:dyDescent="0.2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  <c r="AM665" s="62"/>
      <c r="AN665" s="62"/>
      <c r="AO665" s="62"/>
    </row>
    <row r="666" spans="1:41" ht="12.75" customHeight="1" x14ac:dyDescent="0.2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  <c r="AM666" s="62"/>
      <c r="AN666" s="62"/>
      <c r="AO666" s="62"/>
    </row>
    <row r="667" spans="1:41" ht="12.75" customHeight="1" x14ac:dyDescent="0.2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62"/>
      <c r="AH667" s="62"/>
      <c r="AI667" s="62"/>
      <c r="AJ667" s="62"/>
      <c r="AK667" s="62"/>
      <c r="AL667" s="62"/>
      <c r="AM667" s="62"/>
      <c r="AN667" s="62"/>
      <c r="AO667" s="62"/>
    </row>
    <row r="668" spans="1:41" ht="12.75" customHeight="1" x14ac:dyDescent="0.2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  <c r="AM668" s="62"/>
      <c r="AN668" s="62"/>
      <c r="AO668" s="62"/>
    </row>
    <row r="669" spans="1:41" ht="12.75" customHeight="1" x14ac:dyDescent="0.2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  <c r="AM669" s="62"/>
      <c r="AN669" s="62"/>
      <c r="AO669" s="62"/>
    </row>
    <row r="670" spans="1:41" ht="12.75" customHeight="1" x14ac:dyDescent="0.2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  <c r="AM670" s="62"/>
      <c r="AN670" s="62"/>
      <c r="AO670" s="62"/>
    </row>
    <row r="671" spans="1:41" ht="12.75" customHeight="1" x14ac:dyDescent="0.2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62"/>
      <c r="AH671" s="62"/>
      <c r="AI671" s="62"/>
      <c r="AJ671" s="62"/>
      <c r="AK671" s="62"/>
      <c r="AL671" s="62"/>
      <c r="AM671" s="62"/>
      <c r="AN671" s="62"/>
      <c r="AO671" s="62"/>
    </row>
    <row r="672" spans="1:41" ht="12.75" customHeight="1" x14ac:dyDescent="0.2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  <c r="AM672" s="62"/>
      <c r="AN672" s="62"/>
      <c r="AO672" s="62"/>
    </row>
    <row r="673" spans="1:41" ht="12.75" customHeight="1" x14ac:dyDescent="0.2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  <c r="AO673" s="62"/>
    </row>
    <row r="674" spans="1:41" ht="12.75" customHeight="1" x14ac:dyDescent="0.2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62"/>
      <c r="AH674" s="62"/>
      <c r="AI674" s="62"/>
      <c r="AJ674" s="62"/>
      <c r="AK674" s="62"/>
      <c r="AL674" s="62"/>
      <c r="AM674" s="62"/>
      <c r="AN674" s="62"/>
      <c r="AO674" s="62"/>
    </row>
    <row r="675" spans="1:41" ht="12.75" customHeight="1" x14ac:dyDescent="0.2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  <c r="AM675" s="62"/>
      <c r="AN675" s="62"/>
      <c r="AO675" s="62"/>
    </row>
    <row r="676" spans="1:41" ht="12.75" customHeight="1" x14ac:dyDescent="0.2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  <c r="AM676" s="62"/>
      <c r="AN676" s="62"/>
      <c r="AO676" s="62"/>
    </row>
    <row r="677" spans="1:41" ht="12.75" customHeight="1" x14ac:dyDescent="0.2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  <c r="AM677" s="62"/>
      <c r="AN677" s="62"/>
      <c r="AO677" s="62"/>
    </row>
    <row r="678" spans="1:41" ht="12.75" customHeight="1" x14ac:dyDescent="0.2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62"/>
      <c r="AH678" s="62"/>
      <c r="AI678" s="62"/>
      <c r="AJ678" s="62"/>
      <c r="AK678" s="62"/>
      <c r="AL678" s="62"/>
      <c r="AM678" s="62"/>
      <c r="AN678" s="62"/>
      <c r="AO678" s="62"/>
    </row>
    <row r="679" spans="1:41" ht="12.75" customHeight="1" x14ac:dyDescent="0.2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  <c r="AM679" s="62"/>
      <c r="AN679" s="62"/>
      <c r="AO679" s="62"/>
    </row>
    <row r="680" spans="1:41" ht="12.75" customHeight="1" x14ac:dyDescent="0.2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62"/>
      <c r="AH680" s="62"/>
      <c r="AI680" s="62"/>
      <c r="AJ680" s="62"/>
      <c r="AK680" s="62"/>
      <c r="AL680" s="62"/>
      <c r="AM680" s="62"/>
      <c r="AN680" s="62"/>
      <c r="AO680" s="62"/>
    </row>
    <row r="681" spans="1:41" ht="12.75" customHeight="1" x14ac:dyDescent="0.2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  <c r="AM681" s="62"/>
      <c r="AN681" s="62"/>
      <c r="AO681" s="62"/>
    </row>
    <row r="682" spans="1:41" ht="12.75" customHeight="1" x14ac:dyDescent="0.2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  <c r="AM682" s="62"/>
      <c r="AN682" s="62"/>
      <c r="AO682" s="62"/>
    </row>
    <row r="683" spans="1:41" ht="12.75" customHeight="1" x14ac:dyDescent="0.2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  <c r="AM683" s="62"/>
      <c r="AN683" s="62"/>
      <c r="AO683" s="62"/>
    </row>
    <row r="684" spans="1:41" ht="12.75" customHeight="1" x14ac:dyDescent="0.2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62"/>
      <c r="AH684" s="62"/>
      <c r="AI684" s="62"/>
      <c r="AJ684" s="62"/>
      <c r="AK684" s="62"/>
      <c r="AL684" s="62"/>
      <c r="AM684" s="62"/>
      <c r="AN684" s="62"/>
      <c r="AO684" s="62"/>
    </row>
    <row r="685" spans="1:41" ht="12.75" customHeight="1" x14ac:dyDescent="0.2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  <c r="AM685" s="62"/>
      <c r="AN685" s="62"/>
      <c r="AO685" s="62"/>
    </row>
    <row r="686" spans="1:41" ht="12.75" customHeight="1" x14ac:dyDescent="0.2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  <c r="AM686" s="62"/>
      <c r="AN686" s="62"/>
      <c r="AO686" s="62"/>
    </row>
    <row r="687" spans="1:41" ht="12.75" customHeight="1" x14ac:dyDescent="0.2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2"/>
      <c r="AJ687" s="62"/>
      <c r="AK687" s="62"/>
      <c r="AL687" s="62"/>
      <c r="AM687" s="62"/>
      <c r="AN687" s="62"/>
      <c r="AO687" s="62"/>
    </row>
    <row r="688" spans="1:41" ht="12.75" customHeight="1" x14ac:dyDescent="0.2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  <c r="AO688" s="62"/>
    </row>
    <row r="689" spans="1:41" ht="12.75" customHeight="1" x14ac:dyDescent="0.2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  <c r="AM689" s="62"/>
      <c r="AN689" s="62"/>
      <c r="AO689" s="62"/>
    </row>
    <row r="690" spans="1:41" ht="12.75" customHeight="1" x14ac:dyDescent="0.2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  <c r="AO690" s="62"/>
    </row>
    <row r="691" spans="1:41" ht="12.75" customHeight="1" x14ac:dyDescent="0.2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  <c r="AM691" s="62"/>
      <c r="AN691" s="62"/>
      <c r="AO691" s="62"/>
    </row>
    <row r="692" spans="1:41" ht="12.75" customHeight="1" x14ac:dyDescent="0.2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  <c r="AM692" s="62"/>
      <c r="AN692" s="62"/>
      <c r="AO692" s="62"/>
    </row>
    <row r="693" spans="1:41" ht="12.75" customHeight="1" x14ac:dyDescent="0.2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  <c r="AM693" s="62"/>
      <c r="AN693" s="62"/>
      <c r="AO693" s="62"/>
    </row>
    <row r="694" spans="1:41" ht="12.75" customHeight="1" x14ac:dyDescent="0.2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  <c r="AO694" s="62"/>
    </row>
    <row r="695" spans="1:41" ht="12.75" customHeight="1" x14ac:dyDescent="0.2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  <c r="AO695" s="62"/>
    </row>
    <row r="696" spans="1:41" ht="12.75" customHeight="1" x14ac:dyDescent="0.2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  <c r="AM696" s="62"/>
      <c r="AN696" s="62"/>
      <c r="AO696" s="62"/>
    </row>
    <row r="697" spans="1:41" ht="12.75" customHeight="1" x14ac:dyDescent="0.2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  <c r="AM697" s="62"/>
      <c r="AN697" s="62"/>
      <c r="AO697" s="62"/>
    </row>
    <row r="698" spans="1:41" ht="12.75" customHeight="1" x14ac:dyDescent="0.2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  <c r="AM698" s="62"/>
      <c r="AN698" s="62"/>
      <c r="AO698" s="62"/>
    </row>
    <row r="699" spans="1:41" ht="12.75" customHeight="1" x14ac:dyDescent="0.2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  <c r="AM699" s="62"/>
      <c r="AN699" s="62"/>
      <c r="AO699" s="62"/>
    </row>
    <row r="700" spans="1:41" ht="12.75" customHeight="1" x14ac:dyDescent="0.2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  <c r="AM700" s="62"/>
      <c r="AN700" s="62"/>
      <c r="AO700" s="62"/>
    </row>
    <row r="701" spans="1:41" ht="12.75" customHeight="1" x14ac:dyDescent="0.2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  <c r="AO701" s="62"/>
    </row>
    <row r="702" spans="1:41" ht="12.75" customHeight="1" x14ac:dyDescent="0.2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  <c r="AO702" s="62"/>
    </row>
    <row r="703" spans="1:41" ht="12.75" customHeight="1" x14ac:dyDescent="0.2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  <c r="AM703" s="62"/>
      <c r="AN703" s="62"/>
      <c r="AO703" s="62"/>
    </row>
    <row r="704" spans="1:41" ht="12.75" customHeight="1" x14ac:dyDescent="0.2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  <c r="AM704" s="62"/>
      <c r="AN704" s="62"/>
      <c r="AO704" s="62"/>
    </row>
    <row r="705" spans="1:41" ht="12.75" customHeight="1" x14ac:dyDescent="0.2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  <c r="AM705" s="62"/>
      <c r="AN705" s="62"/>
      <c r="AO705" s="62"/>
    </row>
    <row r="706" spans="1:41" ht="12.75" customHeight="1" x14ac:dyDescent="0.2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  <c r="AM706" s="62"/>
      <c r="AN706" s="62"/>
      <c r="AO706" s="62"/>
    </row>
    <row r="707" spans="1:41" ht="12.75" customHeight="1" x14ac:dyDescent="0.2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  <c r="AM707" s="62"/>
      <c r="AN707" s="62"/>
      <c r="AO707" s="62"/>
    </row>
    <row r="708" spans="1:41" ht="12.75" customHeight="1" x14ac:dyDescent="0.2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  <c r="AM708" s="62"/>
      <c r="AN708" s="62"/>
      <c r="AO708" s="62"/>
    </row>
    <row r="709" spans="1:41" ht="12.75" customHeight="1" x14ac:dyDescent="0.2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  <c r="AM709" s="62"/>
      <c r="AN709" s="62"/>
      <c r="AO709" s="62"/>
    </row>
    <row r="710" spans="1:41" ht="12.75" customHeight="1" x14ac:dyDescent="0.2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  <c r="AM710" s="62"/>
      <c r="AN710" s="62"/>
      <c r="AO710" s="62"/>
    </row>
    <row r="711" spans="1:41" ht="12.75" customHeight="1" x14ac:dyDescent="0.2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  <c r="AM711" s="62"/>
      <c r="AN711" s="62"/>
      <c r="AO711" s="62"/>
    </row>
    <row r="712" spans="1:41" ht="12.75" customHeight="1" x14ac:dyDescent="0.2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  <c r="AM712" s="62"/>
      <c r="AN712" s="62"/>
      <c r="AO712" s="62"/>
    </row>
    <row r="713" spans="1:41" ht="12.75" customHeight="1" x14ac:dyDescent="0.2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  <c r="AM713" s="62"/>
      <c r="AN713" s="62"/>
      <c r="AO713" s="62"/>
    </row>
    <row r="714" spans="1:41" ht="12.75" customHeight="1" x14ac:dyDescent="0.2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  <c r="AO714" s="62"/>
    </row>
    <row r="715" spans="1:41" ht="12.75" customHeight="1" x14ac:dyDescent="0.2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/>
      <c r="AI715" s="62"/>
      <c r="AJ715" s="62"/>
      <c r="AK715" s="62"/>
      <c r="AL715" s="62"/>
      <c r="AM715" s="62"/>
      <c r="AN715" s="62"/>
      <c r="AO715" s="62"/>
    </row>
    <row r="716" spans="1:41" ht="12.75" customHeight="1" x14ac:dyDescent="0.2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  <c r="AM716" s="62"/>
      <c r="AN716" s="62"/>
      <c r="AO716" s="62"/>
    </row>
    <row r="717" spans="1:41" ht="12.75" customHeight="1" x14ac:dyDescent="0.2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  <c r="AM717" s="62"/>
      <c r="AN717" s="62"/>
      <c r="AO717" s="62"/>
    </row>
    <row r="718" spans="1:41" ht="12.75" customHeight="1" x14ac:dyDescent="0.2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  <c r="AM718" s="62"/>
      <c r="AN718" s="62"/>
      <c r="AO718" s="62"/>
    </row>
    <row r="719" spans="1:41" ht="12.75" customHeight="1" x14ac:dyDescent="0.2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  <c r="AM719" s="62"/>
      <c r="AN719" s="62"/>
      <c r="AO719" s="62"/>
    </row>
    <row r="720" spans="1:41" ht="12.75" customHeight="1" x14ac:dyDescent="0.2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  <c r="AM720" s="62"/>
      <c r="AN720" s="62"/>
      <c r="AO720" s="62"/>
    </row>
    <row r="721" spans="1:41" ht="12.75" customHeight="1" x14ac:dyDescent="0.2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  <c r="AM721" s="62"/>
      <c r="AN721" s="62"/>
      <c r="AO721" s="62"/>
    </row>
    <row r="722" spans="1:41" ht="12.75" customHeight="1" x14ac:dyDescent="0.2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  <c r="AM722" s="62"/>
      <c r="AN722" s="62"/>
      <c r="AO722" s="62"/>
    </row>
    <row r="723" spans="1:41" ht="12.75" customHeight="1" x14ac:dyDescent="0.2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/>
      <c r="AI723" s="62"/>
      <c r="AJ723" s="62"/>
      <c r="AK723" s="62"/>
      <c r="AL723" s="62"/>
      <c r="AM723" s="62"/>
      <c r="AN723" s="62"/>
      <c r="AO723" s="62"/>
    </row>
    <row r="724" spans="1:41" ht="12.75" customHeight="1" x14ac:dyDescent="0.2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  <c r="AM724" s="62"/>
      <c r="AN724" s="62"/>
      <c r="AO724" s="62"/>
    </row>
    <row r="725" spans="1:41" ht="12.75" customHeight="1" x14ac:dyDescent="0.2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  <c r="AM725" s="62"/>
      <c r="AN725" s="62"/>
      <c r="AO725" s="62"/>
    </row>
    <row r="726" spans="1:41" ht="12.75" customHeight="1" x14ac:dyDescent="0.2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/>
      <c r="AI726" s="62"/>
      <c r="AJ726" s="62"/>
      <c r="AK726" s="62"/>
      <c r="AL726" s="62"/>
      <c r="AM726" s="62"/>
      <c r="AN726" s="62"/>
      <c r="AO726" s="62"/>
    </row>
    <row r="727" spans="1:41" ht="12.75" customHeight="1" x14ac:dyDescent="0.2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  <c r="AM727" s="62"/>
      <c r="AN727" s="62"/>
      <c r="AO727" s="62"/>
    </row>
    <row r="728" spans="1:41" ht="12.75" customHeight="1" x14ac:dyDescent="0.2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  <c r="AM728" s="62"/>
      <c r="AN728" s="62"/>
      <c r="AO728" s="62"/>
    </row>
    <row r="729" spans="1:41" ht="12.75" customHeight="1" x14ac:dyDescent="0.2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  <c r="AM729" s="62"/>
      <c r="AN729" s="62"/>
      <c r="AO729" s="62"/>
    </row>
    <row r="730" spans="1:41" ht="12.75" customHeight="1" x14ac:dyDescent="0.2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  <c r="AM730" s="62"/>
      <c r="AN730" s="62"/>
      <c r="AO730" s="62"/>
    </row>
    <row r="731" spans="1:41" ht="12.75" customHeight="1" x14ac:dyDescent="0.2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/>
      <c r="AI731" s="62"/>
      <c r="AJ731" s="62"/>
      <c r="AK731" s="62"/>
      <c r="AL731" s="62"/>
      <c r="AM731" s="62"/>
      <c r="AN731" s="62"/>
      <c r="AO731" s="62"/>
    </row>
    <row r="732" spans="1:41" ht="12.75" customHeight="1" x14ac:dyDescent="0.2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2"/>
      <c r="AM732" s="62"/>
      <c r="AN732" s="62"/>
      <c r="AO732" s="62"/>
    </row>
    <row r="733" spans="1:41" ht="12.75" customHeight="1" x14ac:dyDescent="0.2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/>
      <c r="AI733" s="62"/>
      <c r="AJ733" s="62"/>
      <c r="AK733" s="62"/>
      <c r="AL733" s="62"/>
      <c r="AM733" s="62"/>
      <c r="AN733" s="62"/>
      <c r="AO733" s="62"/>
    </row>
    <row r="734" spans="1:41" ht="12.75" customHeight="1" x14ac:dyDescent="0.2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/>
      <c r="AI734" s="62"/>
      <c r="AJ734" s="62"/>
      <c r="AK734" s="62"/>
      <c r="AL734" s="62"/>
      <c r="AM734" s="62"/>
      <c r="AN734" s="62"/>
      <c r="AO734" s="62"/>
    </row>
    <row r="735" spans="1:41" ht="12.75" customHeight="1" x14ac:dyDescent="0.2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/>
      <c r="AI735" s="62"/>
      <c r="AJ735" s="62"/>
      <c r="AK735" s="62"/>
      <c r="AL735" s="62"/>
      <c r="AM735" s="62"/>
      <c r="AN735" s="62"/>
      <c r="AO735" s="62"/>
    </row>
    <row r="736" spans="1:41" ht="12.75" customHeight="1" x14ac:dyDescent="0.2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/>
      <c r="AI736" s="62"/>
      <c r="AJ736" s="62"/>
      <c r="AK736" s="62"/>
      <c r="AL736" s="62"/>
      <c r="AM736" s="62"/>
      <c r="AN736" s="62"/>
      <c r="AO736" s="62"/>
    </row>
    <row r="737" spans="1:41" ht="12.75" customHeight="1" x14ac:dyDescent="0.2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/>
      <c r="AI737" s="62"/>
      <c r="AJ737" s="62"/>
      <c r="AK737" s="62"/>
      <c r="AL737" s="62"/>
      <c r="AM737" s="62"/>
      <c r="AN737" s="62"/>
      <c r="AO737" s="62"/>
    </row>
    <row r="738" spans="1:41" ht="12.75" customHeight="1" x14ac:dyDescent="0.2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/>
      <c r="AI738" s="62"/>
      <c r="AJ738" s="62"/>
      <c r="AK738" s="62"/>
      <c r="AL738" s="62"/>
      <c r="AM738" s="62"/>
      <c r="AN738" s="62"/>
      <c r="AO738" s="62"/>
    </row>
    <row r="739" spans="1:41" ht="12.75" customHeight="1" x14ac:dyDescent="0.2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  <c r="AM739" s="62"/>
      <c r="AN739" s="62"/>
      <c r="AO739" s="62"/>
    </row>
    <row r="740" spans="1:41" ht="12.75" customHeight="1" x14ac:dyDescent="0.2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/>
      <c r="AI740" s="62"/>
      <c r="AJ740" s="62"/>
      <c r="AK740" s="62"/>
      <c r="AL740" s="62"/>
      <c r="AM740" s="62"/>
      <c r="AN740" s="62"/>
      <c r="AO740" s="62"/>
    </row>
    <row r="741" spans="1:41" ht="12.75" customHeight="1" x14ac:dyDescent="0.2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/>
      <c r="AI741" s="62"/>
      <c r="AJ741" s="62"/>
      <c r="AK741" s="62"/>
      <c r="AL741" s="62"/>
      <c r="AM741" s="62"/>
      <c r="AN741" s="62"/>
      <c r="AO741" s="62"/>
    </row>
    <row r="742" spans="1:41" ht="12.75" customHeight="1" x14ac:dyDescent="0.2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/>
      <c r="AI742" s="62"/>
      <c r="AJ742" s="62"/>
      <c r="AK742" s="62"/>
      <c r="AL742" s="62"/>
      <c r="AM742" s="62"/>
      <c r="AN742" s="62"/>
      <c r="AO742" s="62"/>
    </row>
    <row r="743" spans="1:41" ht="12.75" customHeight="1" x14ac:dyDescent="0.2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/>
      <c r="AI743" s="62"/>
      <c r="AJ743" s="62"/>
      <c r="AK743" s="62"/>
      <c r="AL743" s="62"/>
      <c r="AM743" s="62"/>
      <c r="AN743" s="62"/>
      <c r="AO743" s="62"/>
    </row>
    <row r="744" spans="1:41" ht="12.75" customHeight="1" x14ac:dyDescent="0.2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  <c r="AM744" s="62"/>
      <c r="AN744" s="62"/>
      <c r="AO744" s="62"/>
    </row>
    <row r="745" spans="1:41" ht="12.75" customHeight="1" x14ac:dyDescent="0.2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/>
      <c r="AI745" s="62"/>
      <c r="AJ745" s="62"/>
      <c r="AK745" s="62"/>
      <c r="AL745" s="62"/>
      <c r="AM745" s="62"/>
      <c r="AN745" s="62"/>
      <c r="AO745" s="62"/>
    </row>
    <row r="746" spans="1:41" ht="12.75" customHeight="1" x14ac:dyDescent="0.2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/>
      <c r="AI746" s="62"/>
      <c r="AJ746" s="62"/>
      <c r="AK746" s="62"/>
      <c r="AL746" s="62"/>
      <c r="AM746" s="62"/>
      <c r="AN746" s="62"/>
      <c r="AO746" s="62"/>
    </row>
    <row r="747" spans="1:41" ht="12.75" customHeight="1" x14ac:dyDescent="0.2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  <c r="AM747" s="62"/>
      <c r="AN747" s="62"/>
      <c r="AO747" s="62"/>
    </row>
    <row r="748" spans="1:41" ht="12.75" customHeight="1" x14ac:dyDescent="0.2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/>
      <c r="AI748" s="62"/>
      <c r="AJ748" s="62"/>
      <c r="AK748" s="62"/>
      <c r="AL748" s="62"/>
      <c r="AM748" s="62"/>
      <c r="AN748" s="62"/>
      <c r="AO748" s="62"/>
    </row>
    <row r="749" spans="1:41" ht="12.75" customHeight="1" x14ac:dyDescent="0.2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/>
      <c r="AI749" s="62"/>
      <c r="AJ749" s="62"/>
      <c r="AK749" s="62"/>
      <c r="AL749" s="62"/>
      <c r="AM749" s="62"/>
      <c r="AN749" s="62"/>
      <c r="AO749" s="62"/>
    </row>
    <row r="750" spans="1:41" ht="12.75" customHeight="1" x14ac:dyDescent="0.2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/>
      <c r="AI750" s="62"/>
      <c r="AJ750" s="62"/>
      <c r="AK750" s="62"/>
      <c r="AL750" s="62"/>
      <c r="AM750" s="62"/>
      <c r="AN750" s="62"/>
      <c r="AO750" s="62"/>
    </row>
    <row r="751" spans="1:41" ht="12.75" customHeight="1" x14ac:dyDescent="0.2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/>
      <c r="AI751" s="62"/>
      <c r="AJ751" s="62"/>
      <c r="AK751" s="62"/>
      <c r="AL751" s="62"/>
      <c r="AM751" s="62"/>
      <c r="AN751" s="62"/>
      <c r="AO751" s="62"/>
    </row>
    <row r="752" spans="1:41" ht="12.75" customHeight="1" x14ac:dyDescent="0.2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/>
      <c r="AI752" s="62"/>
      <c r="AJ752" s="62"/>
      <c r="AK752" s="62"/>
      <c r="AL752" s="62"/>
      <c r="AM752" s="62"/>
      <c r="AN752" s="62"/>
      <c r="AO752" s="62"/>
    </row>
    <row r="753" spans="1:41" ht="12.75" customHeight="1" x14ac:dyDescent="0.2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/>
      <c r="AI753" s="62"/>
      <c r="AJ753" s="62"/>
      <c r="AK753" s="62"/>
      <c r="AL753" s="62"/>
      <c r="AM753" s="62"/>
      <c r="AN753" s="62"/>
      <c r="AO753" s="62"/>
    </row>
    <row r="754" spans="1:41" ht="12.75" customHeight="1" x14ac:dyDescent="0.2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/>
      <c r="AI754" s="62"/>
      <c r="AJ754" s="62"/>
      <c r="AK754" s="62"/>
      <c r="AL754" s="62"/>
      <c r="AM754" s="62"/>
      <c r="AN754" s="62"/>
      <c r="AO754" s="62"/>
    </row>
    <row r="755" spans="1:41" ht="12.75" customHeight="1" x14ac:dyDescent="0.2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/>
      <c r="AI755" s="62"/>
      <c r="AJ755" s="62"/>
      <c r="AK755" s="62"/>
      <c r="AL755" s="62"/>
      <c r="AM755" s="62"/>
      <c r="AN755" s="62"/>
      <c r="AO755" s="62"/>
    </row>
    <row r="756" spans="1:41" ht="12.75" customHeight="1" x14ac:dyDescent="0.2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/>
      <c r="AI756" s="62"/>
      <c r="AJ756" s="62"/>
      <c r="AK756" s="62"/>
      <c r="AL756" s="62"/>
      <c r="AM756" s="62"/>
      <c r="AN756" s="62"/>
      <c r="AO756" s="62"/>
    </row>
    <row r="757" spans="1:41" ht="12.75" customHeight="1" x14ac:dyDescent="0.2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I757" s="62"/>
      <c r="AJ757" s="62"/>
      <c r="AK757" s="62"/>
      <c r="AL757" s="62"/>
      <c r="AM757" s="62"/>
      <c r="AN757" s="62"/>
      <c r="AO757" s="62"/>
    </row>
    <row r="758" spans="1:41" ht="12.75" customHeight="1" x14ac:dyDescent="0.2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/>
      <c r="AI758" s="62"/>
      <c r="AJ758" s="62"/>
      <c r="AK758" s="62"/>
      <c r="AL758" s="62"/>
      <c r="AM758" s="62"/>
      <c r="AN758" s="62"/>
      <c r="AO758" s="62"/>
    </row>
    <row r="759" spans="1:41" ht="12.75" customHeight="1" x14ac:dyDescent="0.2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/>
      <c r="AI759" s="62"/>
      <c r="AJ759" s="62"/>
      <c r="AK759" s="62"/>
      <c r="AL759" s="62"/>
      <c r="AM759" s="62"/>
      <c r="AN759" s="62"/>
      <c r="AO759" s="62"/>
    </row>
    <row r="760" spans="1:41" ht="12.75" customHeight="1" x14ac:dyDescent="0.2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/>
      <c r="AI760" s="62"/>
      <c r="AJ760" s="62"/>
      <c r="AK760" s="62"/>
      <c r="AL760" s="62"/>
      <c r="AM760" s="62"/>
      <c r="AN760" s="62"/>
      <c r="AO760" s="62"/>
    </row>
    <row r="761" spans="1:41" ht="12.75" customHeight="1" x14ac:dyDescent="0.2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/>
      <c r="AI761" s="62"/>
      <c r="AJ761" s="62"/>
      <c r="AK761" s="62"/>
      <c r="AL761" s="62"/>
      <c r="AM761" s="62"/>
      <c r="AN761" s="62"/>
      <c r="AO761" s="62"/>
    </row>
    <row r="762" spans="1:41" ht="12.75" customHeight="1" x14ac:dyDescent="0.2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/>
      <c r="AI762" s="62"/>
      <c r="AJ762" s="62"/>
      <c r="AK762" s="62"/>
      <c r="AL762" s="62"/>
      <c r="AM762" s="62"/>
      <c r="AN762" s="62"/>
      <c r="AO762" s="62"/>
    </row>
    <row r="763" spans="1:41" ht="12.75" customHeight="1" x14ac:dyDescent="0.2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/>
      <c r="AI763" s="62"/>
      <c r="AJ763" s="62"/>
      <c r="AK763" s="62"/>
      <c r="AL763" s="62"/>
      <c r="AM763" s="62"/>
      <c r="AN763" s="62"/>
      <c r="AO763" s="62"/>
    </row>
    <row r="764" spans="1:41" ht="12.75" customHeight="1" x14ac:dyDescent="0.2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/>
      <c r="AI764" s="62"/>
      <c r="AJ764" s="62"/>
      <c r="AK764" s="62"/>
      <c r="AL764" s="62"/>
      <c r="AM764" s="62"/>
      <c r="AN764" s="62"/>
      <c r="AO764" s="62"/>
    </row>
    <row r="765" spans="1:41" ht="12.75" customHeight="1" x14ac:dyDescent="0.2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/>
      <c r="AI765" s="62"/>
      <c r="AJ765" s="62"/>
      <c r="AK765" s="62"/>
      <c r="AL765" s="62"/>
      <c r="AM765" s="62"/>
      <c r="AN765" s="62"/>
      <c r="AO765" s="62"/>
    </row>
    <row r="766" spans="1:41" ht="12.75" customHeight="1" x14ac:dyDescent="0.2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/>
      <c r="AI766" s="62"/>
      <c r="AJ766" s="62"/>
      <c r="AK766" s="62"/>
      <c r="AL766" s="62"/>
      <c r="AM766" s="62"/>
      <c r="AN766" s="62"/>
      <c r="AO766" s="62"/>
    </row>
    <row r="767" spans="1:41" ht="12.75" customHeight="1" x14ac:dyDescent="0.2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/>
      <c r="AI767" s="62"/>
      <c r="AJ767" s="62"/>
      <c r="AK767" s="62"/>
      <c r="AL767" s="62"/>
      <c r="AM767" s="62"/>
      <c r="AN767" s="62"/>
      <c r="AO767" s="62"/>
    </row>
    <row r="768" spans="1:41" ht="12.75" customHeight="1" x14ac:dyDescent="0.2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/>
      <c r="AI768" s="62"/>
      <c r="AJ768" s="62"/>
      <c r="AK768" s="62"/>
      <c r="AL768" s="62"/>
      <c r="AM768" s="62"/>
      <c r="AN768" s="62"/>
      <c r="AO768" s="62"/>
    </row>
    <row r="769" spans="1:41" ht="12.75" customHeight="1" x14ac:dyDescent="0.2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/>
      <c r="AI769" s="62"/>
      <c r="AJ769" s="62"/>
      <c r="AK769" s="62"/>
      <c r="AL769" s="62"/>
      <c r="AM769" s="62"/>
      <c r="AN769" s="62"/>
      <c r="AO769" s="62"/>
    </row>
    <row r="770" spans="1:41" ht="12.75" customHeight="1" x14ac:dyDescent="0.2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41" ht="12.75" customHeight="1" x14ac:dyDescent="0.2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2"/>
      <c r="AK771" s="62"/>
      <c r="AL771" s="62"/>
      <c r="AM771" s="62"/>
      <c r="AN771" s="62"/>
      <c r="AO771" s="62"/>
    </row>
    <row r="772" spans="1:41" ht="12.75" customHeight="1" x14ac:dyDescent="0.2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/>
      <c r="AI772" s="62"/>
      <c r="AJ772" s="62"/>
      <c r="AK772" s="62"/>
      <c r="AL772" s="62"/>
      <c r="AM772" s="62"/>
      <c r="AN772" s="62"/>
      <c r="AO772" s="62"/>
    </row>
    <row r="773" spans="1:41" ht="12.75" customHeight="1" x14ac:dyDescent="0.2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/>
      <c r="AI773" s="62"/>
      <c r="AJ773" s="62"/>
      <c r="AK773" s="62"/>
      <c r="AL773" s="62"/>
      <c r="AM773" s="62"/>
      <c r="AN773" s="62"/>
      <c r="AO773" s="62"/>
    </row>
    <row r="774" spans="1:41" ht="12.75" customHeight="1" x14ac:dyDescent="0.2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/>
      <c r="AI774" s="62"/>
      <c r="AJ774" s="62"/>
      <c r="AK774" s="62"/>
      <c r="AL774" s="62"/>
      <c r="AM774" s="62"/>
      <c r="AN774" s="62"/>
      <c r="AO774" s="62"/>
    </row>
    <row r="775" spans="1:41" ht="12.75" customHeight="1" x14ac:dyDescent="0.2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/>
      <c r="AI775" s="62"/>
      <c r="AJ775" s="62"/>
      <c r="AK775" s="62"/>
      <c r="AL775" s="62"/>
      <c r="AM775" s="62"/>
      <c r="AN775" s="62"/>
      <c r="AO775" s="62"/>
    </row>
    <row r="776" spans="1:41" ht="12.75" customHeight="1" x14ac:dyDescent="0.2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/>
      <c r="AI776" s="62"/>
      <c r="AJ776" s="62"/>
      <c r="AK776" s="62"/>
      <c r="AL776" s="62"/>
      <c r="AM776" s="62"/>
      <c r="AN776" s="62"/>
      <c r="AO776" s="62"/>
    </row>
    <row r="777" spans="1:41" ht="12.75" customHeight="1" x14ac:dyDescent="0.2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  <c r="AM777" s="62"/>
      <c r="AN777" s="62"/>
      <c r="AO777" s="62"/>
    </row>
    <row r="778" spans="1:41" ht="12.75" customHeight="1" x14ac:dyDescent="0.2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  <c r="AM778" s="62"/>
      <c r="AN778" s="62"/>
      <c r="AO778" s="62"/>
    </row>
    <row r="779" spans="1:41" ht="12.75" customHeight="1" x14ac:dyDescent="0.2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  <c r="AM779" s="62"/>
      <c r="AN779" s="62"/>
      <c r="AO779" s="62"/>
    </row>
    <row r="780" spans="1:41" ht="12.75" customHeight="1" x14ac:dyDescent="0.2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  <c r="AM780" s="62"/>
      <c r="AN780" s="62"/>
      <c r="AO780" s="62"/>
    </row>
    <row r="781" spans="1:41" ht="12.75" customHeight="1" x14ac:dyDescent="0.2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/>
      <c r="AI781" s="62"/>
      <c r="AJ781" s="62"/>
      <c r="AK781" s="62"/>
      <c r="AL781" s="62"/>
      <c r="AM781" s="62"/>
      <c r="AN781" s="62"/>
      <c r="AO781" s="62"/>
    </row>
    <row r="782" spans="1:41" ht="12.75" customHeight="1" x14ac:dyDescent="0.2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/>
      <c r="AI782" s="62"/>
      <c r="AJ782" s="62"/>
      <c r="AK782" s="62"/>
      <c r="AL782" s="62"/>
      <c r="AM782" s="62"/>
      <c r="AN782" s="62"/>
      <c r="AO782" s="62"/>
    </row>
    <row r="783" spans="1:41" ht="12.75" customHeight="1" x14ac:dyDescent="0.2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  <c r="AO783" s="62"/>
    </row>
    <row r="784" spans="1:41" ht="12.75" customHeight="1" x14ac:dyDescent="0.2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62"/>
      <c r="AH784" s="62"/>
      <c r="AI784" s="62"/>
      <c r="AJ784" s="62"/>
      <c r="AK784" s="62"/>
      <c r="AL784" s="62"/>
      <c r="AM784" s="62"/>
      <c r="AN784" s="62"/>
      <c r="AO784" s="62"/>
    </row>
    <row r="785" spans="1:41" ht="12.75" customHeight="1" x14ac:dyDescent="0.2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</row>
    <row r="786" spans="1:41" ht="12.75" customHeight="1" x14ac:dyDescent="0.2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/>
      <c r="AI786" s="62"/>
      <c r="AJ786" s="62"/>
      <c r="AK786" s="62"/>
      <c r="AL786" s="62"/>
      <c r="AM786" s="62"/>
      <c r="AN786" s="62"/>
      <c r="AO786" s="62"/>
    </row>
    <row r="787" spans="1:41" ht="12.75" customHeight="1" x14ac:dyDescent="0.2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/>
      <c r="AI787" s="62"/>
      <c r="AJ787" s="62"/>
      <c r="AK787" s="62"/>
      <c r="AL787" s="62"/>
      <c r="AM787" s="62"/>
      <c r="AN787" s="62"/>
      <c r="AO787" s="62"/>
    </row>
    <row r="788" spans="1:41" ht="12.75" customHeight="1" x14ac:dyDescent="0.2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  <c r="AM788" s="62"/>
      <c r="AN788" s="62"/>
      <c r="AO788" s="62"/>
    </row>
    <row r="789" spans="1:41" ht="12.75" customHeight="1" x14ac:dyDescent="0.2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/>
      <c r="AI789" s="62"/>
      <c r="AJ789" s="62"/>
      <c r="AK789" s="62"/>
      <c r="AL789" s="62"/>
      <c r="AM789" s="62"/>
      <c r="AN789" s="62"/>
      <c r="AO789" s="62"/>
    </row>
    <row r="790" spans="1:41" ht="12.75" customHeight="1" x14ac:dyDescent="0.2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/>
      <c r="AI790" s="62"/>
      <c r="AJ790" s="62"/>
      <c r="AK790" s="62"/>
      <c r="AL790" s="62"/>
      <c r="AM790" s="62"/>
      <c r="AN790" s="62"/>
      <c r="AO790" s="62"/>
    </row>
    <row r="791" spans="1:41" ht="12.75" customHeight="1" x14ac:dyDescent="0.2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/>
      <c r="AI791" s="62"/>
      <c r="AJ791" s="62"/>
      <c r="AK791" s="62"/>
      <c r="AL791" s="62"/>
      <c r="AM791" s="62"/>
      <c r="AN791" s="62"/>
      <c r="AO791" s="62"/>
    </row>
    <row r="792" spans="1:41" ht="12.75" customHeight="1" x14ac:dyDescent="0.2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/>
      <c r="AI792" s="62"/>
      <c r="AJ792" s="62"/>
      <c r="AK792" s="62"/>
      <c r="AL792" s="62"/>
      <c r="AM792" s="62"/>
      <c r="AN792" s="62"/>
      <c r="AO792" s="62"/>
    </row>
    <row r="793" spans="1:41" ht="12.75" customHeight="1" x14ac:dyDescent="0.2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  <c r="AM793" s="62"/>
      <c r="AN793" s="62"/>
      <c r="AO793" s="62"/>
    </row>
    <row r="794" spans="1:41" ht="12.75" customHeight="1" x14ac:dyDescent="0.2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/>
      <c r="AI794" s="62"/>
      <c r="AJ794" s="62"/>
      <c r="AK794" s="62"/>
      <c r="AL794" s="62"/>
      <c r="AM794" s="62"/>
      <c r="AN794" s="62"/>
      <c r="AO794" s="62"/>
    </row>
    <row r="795" spans="1:41" ht="12.75" customHeight="1" x14ac:dyDescent="0.2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  <c r="AO795" s="62"/>
    </row>
    <row r="796" spans="1:41" ht="12.75" customHeight="1" x14ac:dyDescent="0.2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  <c r="AM796" s="62"/>
      <c r="AN796" s="62"/>
      <c r="AO796" s="62"/>
    </row>
    <row r="797" spans="1:41" ht="12.75" customHeight="1" x14ac:dyDescent="0.2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  <c r="AM797" s="62"/>
      <c r="AN797" s="62"/>
      <c r="AO797" s="62"/>
    </row>
    <row r="798" spans="1:41" ht="12.75" customHeight="1" x14ac:dyDescent="0.2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  <c r="AM798" s="62"/>
      <c r="AN798" s="62"/>
      <c r="AO798" s="62"/>
    </row>
    <row r="799" spans="1:41" ht="12.75" customHeight="1" x14ac:dyDescent="0.2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/>
      <c r="AI799" s="62"/>
      <c r="AJ799" s="62"/>
      <c r="AK799" s="62"/>
      <c r="AL799" s="62"/>
      <c r="AM799" s="62"/>
      <c r="AN799" s="62"/>
      <c r="AO799" s="62"/>
    </row>
    <row r="800" spans="1:41" ht="12.75" customHeight="1" x14ac:dyDescent="0.2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  <c r="AO800" s="62"/>
    </row>
    <row r="801" spans="1:41" ht="12.75" customHeight="1" x14ac:dyDescent="0.2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  <c r="AM801" s="62"/>
      <c r="AN801" s="62"/>
      <c r="AO801" s="62"/>
    </row>
    <row r="802" spans="1:41" ht="12.75" customHeight="1" x14ac:dyDescent="0.2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  <c r="AM802" s="62"/>
      <c r="AN802" s="62"/>
      <c r="AO802" s="62"/>
    </row>
    <row r="803" spans="1:41" ht="12.75" customHeight="1" x14ac:dyDescent="0.2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  <c r="AO803" s="62"/>
    </row>
    <row r="804" spans="1:41" ht="12.75" customHeight="1" x14ac:dyDescent="0.2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/>
      <c r="AI804" s="62"/>
      <c r="AJ804" s="62"/>
      <c r="AK804" s="62"/>
      <c r="AL804" s="62"/>
      <c r="AM804" s="62"/>
      <c r="AN804" s="62"/>
      <c r="AO804" s="62"/>
    </row>
    <row r="805" spans="1:41" ht="12.75" customHeight="1" x14ac:dyDescent="0.2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/>
      <c r="AI805" s="62"/>
      <c r="AJ805" s="62"/>
      <c r="AK805" s="62"/>
      <c r="AL805" s="62"/>
      <c r="AM805" s="62"/>
      <c r="AN805" s="62"/>
      <c r="AO805" s="62"/>
    </row>
    <row r="806" spans="1:41" ht="12.75" customHeight="1" x14ac:dyDescent="0.2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/>
      <c r="AI806" s="62"/>
      <c r="AJ806" s="62"/>
      <c r="AK806" s="62"/>
      <c r="AL806" s="62"/>
      <c r="AM806" s="62"/>
      <c r="AN806" s="62"/>
      <c r="AO806" s="62"/>
    </row>
    <row r="807" spans="1:41" ht="12.75" customHeight="1" x14ac:dyDescent="0.2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/>
      <c r="AI807" s="62"/>
      <c r="AJ807" s="62"/>
      <c r="AK807" s="62"/>
      <c r="AL807" s="62"/>
      <c r="AM807" s="62"/>
      <c r="AN807" s="62"/>
      <c r="AO807" s="62"/>
    </row>
    <row r="808" spans="1:41" ht="12.75" customHeight="1" x14ac:dyDescent="0.2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/>
      <c r="AI808" s="62"/>
      <c r="AJ808" s="62"/>
      <c r="AK808" s="62"/>
      <c r="AL808" s="62"/>
      <c r="AM808" s="62"/>
      <c r="AN808" s="62"/>
      <c r="AO808" s="62"/>
    </row>
    <row r="809" spans="1:41" ht="12.75" customHeight="1" x14ac:dyDescent="0.2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/>
      <c r="AI809" s="62"/>
      <c r="AJ809" s="62"/>
      <c r="AK809" s="62"/>
      <c r="AL809" s="62"/>
      <c r="AM809" s="62"/>
      <c r="AN809" s="62"/>
      <c r="AO809" s="62"/>
    </row>
    <row r="810" spans="1:41" ht="12.75" customHeight="1" x14ac:dyDescent="0.2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  <c r="AM810" s="62"/>
      <c r="AN810" s="62"/>
      <c r="AO810" s="62"/>
    </row>
    <row r="811" spans="1:41" ht="12.75" customHeight="1" x14ac:dyDescent="0.2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/>
      <c r="AI811" s="62"/>
      <c r="AJ811" s="62"/>
      <c r="AK811" s="62"/>
      <c r="AL811" s="62"/>
      <c r="AM811" s="62"/>
      <c r="AN811" s="62"/>
      <c r="AO811" s="62"/>
    </row>
    <row r="812" spans="1:41" ht="12.75" customHeight="1" x14ac:dyDescent="0.2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/>
      <c r="AI812" s="62"/>
      <c r="AJ812" s="62"/>
      <c r="AK812" s="62"/>
      <c r="AL812" s="62"/>
      <c r="AM812" s="62"/>
      <c r="AN812" s="62"/>
      <c r="AO812" s="62"/>
    </row>
    <row r="813" spans="1:41" ht="12.75" customHeight="1" x14ac:dyDescent="0.2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/>
      <c r="AI813" s="62"/>
      <c r="AJ813" s="62"/>
      <c r="AK813" s="62"/>
      <c r="AL813" s="62"/>
      <c r="AM813" s="62"/>
      <c r="AN813" s="62"/>
      <c r="AO813" s="62"/>
    </row>
    <row r="814" spans="1:41" ht="12.75" customHeight="1" x14ac:dyDescent="0.2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/>
      <c r="AI814" s="62"/>
      <c r="AJ814" s="62"/>
      <c r="AK814" s="62"/>
      <c r="AL814" s="62"/>
      <c r="AM814" s="62"/>
      <c r="AN814" s="62"/>
      <c r="AO814" s="62"/>
    </row>
    <row r="815" spans="1:41" ht="12.75" customHeight="1" x14ac:dyDescent="0.2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/>
      <c r="AI815" s="62"/>
      <c r="AJ815" s="62"/>
      <c r="AK815" s="62"/>
      <c r="AL815" s="62"/>
      <c r="AM815" s="62"/>
      <c r="AN815" s="62"/>
      <c r="AO815" s="62"/>
    </row>
    <row r="816" spans="1:41" ht="12.75" customHeight="1" x14ac:dyDescent="0.2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/>
      <c r="AI816" s="62"/>
      <c r="AJ816" s="62"/>
      <c r="AK816" s="62"/>
      <c r="AL816" s="62"/>
      <c r="AM816" s="62"/>
      <c r="AN816" s="62"/>
      <c r="AO816" s="62"/>
    </row>
    <row r="817" spans="1:41" ht="12.75" customHeight="1" x14ac:dyDescent="0.2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/>
      <c r="AI817" s="62"/>
      <c r="AJ817" s="62"/>
      <c r="AK817" s="62"/>
      <c r="AL817" s="62"/>
      <c r="AM817" s="62"/>
      <c r="AN817" s="62"/>
      <c r="AO817" s="62"/>
    </row>
    <row r="818" spans="1:41" ht="12.75" customHeight="1" x14ac:dyDescent="0.2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/>
      <c r="AI818" s="62"/>
      <c r="AJ818" s="62"/>
      <c r="AK818" s="62"/>
      <c r="AL818" s="62"/>
      <c r="AM818" s="62"/>
      <c r="AN818" s="62"/>
      <c r="AO818" s="62"/>
    </row>
    <row r="819" spans="1:41" ht="12.75" customHeight="1" x14ac:dyDescent="0.2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/>
      <c r="AI819" s="62"/>
      <c r="AJ819" s="62"/>
      <c r="AK819" s="62"/>
      <c r="AL819" s="62"/>
      <c r="AM819" s="62"/>
      <c r="AN819" s="62"/>
      <c r="AO819" s="62"/>
    </row>
    <row r="820" spans="1:41" ht="12.75" customHeight="1" x14ac:dyDescent="0.2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/>
      <c r="AI820" s="62"/>
      <c r="AJ820" s="62"/>
      <c r="AK820" s="62"/>
      <c r="AL820" s="62"/>
      <c r="AM820" s="62"/>
      <c r="AN820" s="62"/>
      <c r="AO820" s="62"/>
    </row>
    <row r="821" spans="1:41" ht="12.75" customHeight="1" x14ac:dyDescent="0.2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/>
      <c r="AI821" s="62"/>
      <c r="AJ821" s="62"/>
      <c r="AK821" s="62"/>
      <c r="AL821" s="62"/>
      <c r="AM821" s="62"/>
      <c r="AN821" s="62"/>
      <c r="AO821" s="62"/>
    </row>
    <row r="822" spans="1:41" ht="12.75" customHeight="1" x14ac:dyDescent="0.2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/>
      <c r="AI822" s="62"/>
      <c r="AJ822" s="62"/>
      <c r="AK822" s="62"/>
      <c r="AL822" s="62"/>
      <c r="AM822" s="62"/>
      <c r="AN822" s="62"/>
      <c r="AO822" s="62"/>
    </row>
    <row r="823" spans="1:41" ht="12.75" customHeight="1" x14ac:dyDescent="0.2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/>
      <c r="AI823" s="62"/>
      <c r="AJ823" s="62"/>
      <c r="AK823" s="62"/>
      <c r="AL823" s="62"/>
      <c r="AM823" s="62"/>
      <c r="AN823" s="62"/>
      <c r="AO823" s="62"/>
    </row>
    <row r="824" spans="1:41" ht="12.75" customHeight="1" x14ac:dyDescent="0.2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/>
      <c r="AI824" s="62"/>
      <c r="AJ824" s="62"/>
      <c r="AK824" s="62"/>
      <c r="AL824" s="62"/>
      <c r="AM824" s="62"/>
      <c r="AN824" s="62"/>
      <c r="AO824" s="62"/>
    </row>
    <row r="825" spans="1:41" ht="12.75" customHeight="1" x14ac:dyDescent="0.2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/>
      <c r="AI825" s="62"/>
      <c r="AJ825" s="62"/>
      <c r="AK825" s="62"/>
      <c r="AL825" s="62"/>
      <c r="AM825" s="62"/>
      <c r="AN825" s="62"/>
      <c r="AO825" s="62"/>
    </row>
    <row r="826" spans="1:41" ht="12.75" customHeight="1" x14ac:dyDescent="0.2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/>
      <c r="AI826" s="62"/>
      <c r="AJ826" s="62"/>
      <c r="AK826" s="62"/>
      <c r="AL826" s="62"/>
      <c r="AM826" s="62"/>
      <c r="AN826" s="62"/>
      <c r="AO826" s="62"/>
    </row>
    <row r="827" spans="1:41" ht="12.75" customHeight="1" x14ac:dyDescent="0.2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  <c r="AM827" s="62"/>
      <c r="AN827" s="62"/>
      <c r="AO827" s="62"/>
    </row>
    <row r="828" spans="1:41" ht="12.75" customHeight="1" x14ac:dyDescent="0.2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/>
      <c r="AI828" s="62"/>
      <c r="AJ828" s="62"/>
      <c r="AK828" s="62"/>
      <c r="AL828" s="62"/>
      <c r="AM828" s="62"/>
      <c r="AN828" s="62"/>
      <c r="AO828" s="62"/>
    </row>
    <row r="829" spans="1:41" ht="12.75" customHeight="1" x14ac:dyDescent="0.2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/>
      <c r="AI829" s="62"/>
      <c r="AJ829" s="62"/>
      <c r="AK829" s="62"/>
      <c r="AL829" s="62"/>
      <c r="AM829" s="62"/>
      <c r="AN829" s="62"/>
      <c r="AO829" s="62"/>
    </row>
    <row r="830" spans="1:41" ht="12.75" customHeight="1" x14ac:dyDescent="0.2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/>
      <c r="AI830" s="62"/>
      <c r="AJ830" s="62"/>
      <c r="AK830" s="62"/>
      <c r="AL830" s="62"/>
      <c r="AM830" s="62"/>
      <c r="AN830" s="62"/>
      <c r="AO830" s="62"/>
    </row>
    <row r="831" spans="1:41" ht="12.75" customHeight="1" x14ac:dyDescent="0.2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/>
      <c r="AI831" s="62"/>
      <c r="AJ831" s="62"/>
      <c r="AK831" s="62"/>
      <c r="AL831" s="62"/>
      <c r="AM831" s="62"/>
      <c r="AN831" s="62"/>
      <c r="AO831" s="62"/>
    </row>
    <row r="832" spans="1:41" ht="12.75" customHeight="1" x14ac:dyDescent="0.2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  <c r="AO832" s="62"/>
    </row>
    <row r="833" spans="1:41" ht="12.75" customHeight="1" x14ac:dyDescent="0.2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/>
      <c r="AI833" s="62"/>
      <c r="AJ833" s="62"/>
      <c r="AK833" s="62"/>
      <c r="AL833" s="62"/>
      <c r="AM833" s="62"/>
      <c r="AN833" s="62"/>
      <c r="AO833" s="62"/>
    </row>
    <row r="834" spans="1:41" ht="12.75" customHeight="1" x14ac:dyDescent="0.2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/>
      <c r="AI834" s="62"/>
      <c r="AJ834" s="62"/>
      <c r="AK834" s="62"/>
      <c r="AL834" s="62"/>
      <c r="AM834" s="62"/>
      <c r="AN834" s="62"/>
      <c r="AO834" s="62"/>
    </row>
    <row r="835" spans="1:41" ht="12.75" customHeight="1" x14ac:dyDescent="0.2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  <c r="AM835" s="62"/>
      <c r="AN835" s="62"/>
      <c r="AO835" s="62"/>
    </row>
    <row r="836" spans="1:41" ht="12.75" customHeight="1" x14ac:dyDescent="0.2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  <c r="AO836" s="62"/>
    </row>
    <row r="837" spans="1:41" ht="12.75" customHeight="1" x14ac:dyDescent="0.2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  <c r="AO837" s="62"/>
    </row>
    <row r="838" spans="1:41" ht="12.75" customHeight="1" x14ac:dyDescent="0.2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  <c r="AM838" s="62"/>
      <c r="AN838" s="62"/>
      <c r="AO838" s="62"/>
    </row>
    <row r="839" spans="1:41" ht="12.75" customHeight="1" x14ac:dyDescent="0.2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  <c r="AM839" s="62"/>
      <c r="AN839" s="62"/>
      <c r="AO839" s="62"/>
    </row>
    <row r="840" spans="1:41" ht="12.75" customHeight="1" x14ac:dyDescent="0.2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  <c r="AM840" s="62"/>
      <c r="AN840" s="62"/>
      <c r="AO840" s="62"/>
    </row>
    <row r="841" spans="1:41" ht="12.75" customHeight="1" x14ac:dyDescent="0.2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  <c r="AM841" s="62"/>
      <c r="AN841" s="62"/>
      <c r="AO841" s="62"/>
    </row>
    <row r="842" spans="1:41" ht="12.75" customHeight="1" x14ac:dyDescent="0.2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  <c r="AO842" s="62"/>
    </row>
    <row r="843" spans="1:41" ht="12.75" customHeight="1" x14ac:dyDescent="0.2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  <c r="AM843" s="62"/>
      <c r="AN843" s="62"/>
      <c r="AO843" s="62"/>
    </row>
    <row r="844" spans="1:41" ht="12.75" customHeight="1" x14ac:dyDescent="0.2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  <c r="AM844" s="62"/>
      <c r="AN844" s="62"/>
      <c r="AO844" s="62"/>
    </row>
    <row r="845" spans="1:41" ht="12.75" customHeight="1" x14ac:dyDescent="0.2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  <c r="AM845" s="62"/>
      <c r="AN845" s="62"/>
      <c r="AO845" s="62"/>
    </row>
    <row r="846" spans="1:41" ht="12.75" customHeight="1" x14ac:dyDescent="0.2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  <c r="AM846" s="62"/>
      <c r="AN846" s="62"/>
      <c r="AO846" s="62"/>
    </row>
    <row r="847" spans="1:41" ht="12.75" customHeight="1" x14ac:dyDescent="0.2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  <c r="AM847" s="62"/>
      <c r="AN847" s="62"/>
      <c r="AO847" s="62"/>
    </row>
    <row r="848" spans="1:41" ht="12.75" customHeight="1" x14ac:dyDescent="0.2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/>
      <c r="AI848" s="62"/>
      <c r="AJ848" s="62"/>
      <c r="AK848" s="62"/>
      <c r="AL848" s="62"/>
      <c r="AM848" s="62"/>
      <c r="AN848" s="62"/>
      <c r="AO848" s="62"/>
    </row>
    <row r="849" spans="1:41" ht="12.75" customHeight="1" x14ac:dyDescent="0.2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  <c r="AM849" s="62"/>
      <c r="AN849" s="62"/>
      <c r="AO849" s="62"/>
    </row>
    <row r="850" spans="1:41" ht="12.75" customHeight="1" x14ac:dyDescent="0.2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  <c r="AM850" s="62"/>
      <c r="AN850" s="62"/>
      <c r="AO850" s="62"/>
    </row>
    <row r="851" spans="1:41" ht="12.75" customHeight="1" x14ac:dyDescent="0.2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  <c r="AM851" s="62"/>
      <c r="AN851" s="62"/>
      <c r="AO851" s="62"/>
    </row>
    <row r="852" spans="1:41" ht="12.75" customHeight="1" x14ac:dyDescent="0.2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  <c r="AM852" s="62"/>
      <c r="AN852" s="62"/>
      <c r="AO852" s="62"/>
    </row>
    <row r="853" spans="1:41" ht="12.75" customHeight="1" x14ac:dyDescent="0.2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  <c r="AM853" s="62"/>
      <c r="AN853" s="62"/>
      <c r="AO853" s="62"/>
    </row>
    <row r="854" spans="1:41" ht="12.75" customHeight="1" x14ac:dyDescent="0.2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  <c r="AO854" s="62"/>
    </row>
    <row r="855" spans="1:41" ht="12.75" customHeight="1" x14ac:dyDescent="0.2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  <c r="AM855" s="62"/>
      <c r="AN855" s="62"/>
      <c r="AO855" s="62"/>
    </row>
    <row r="856" spans="1:41" ht="12.75" customHeight="1" x14ac:dyDescent="0.2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  <c r="AM856" s="62"/>
      <c r="AN856" s="62"/>
      <c r="AO856" s="62"/>
    </row>
    <row r="857" spans="1:41" ht="12.75" customHeight="1" x14ac:dyDescent="0.2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  <c r="AO857" s="62"/>
    </row>
    <row r="858" spans="1:41" ht="12.75" customHeight="1" x14ac:dyDescent="0.2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  <c r="AM858" s="62"/>
      <c r="AN858" s="62"/>
      <c r="AO858" s="62"/>
    </row>
    <row r="859" spans="1:41" ht="12.75" customHeight="1" x14ac:dyDescent="0.2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  <c r="AM859" s="62"/>
      <c r="AN859" s="62"/>
      <c r="AO859" s="62"/>
    </row>
    <row r="860" spans="1:41" ht="12.75" customHeight="1" x14ac:dyDescent="0.2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  <c r="AO860" s="62"/>
    </row>
    <row r="861" spans="1:41" ht="12.75" customHeight="1" x14ac:dyDescent="0.2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  <c r="AM861" s="62"/>
      <c r="AN861" s="62"/>
      <c r="AO861" s="62"/>
    </row>
    <row r="862" spans="1:41" ht="12.75" customHeight="1" x14ac:dyDescent="0.2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  <c r="AO862" s="62"/>
    </row>
    <row r="863" spans="1:41" ht="12.75" customHeight="1" x14ac:dyDescent="0.2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  <c r="AM863" s="62"/>
      <c r="AN863" s="62"/>
      <c r="AO863" s="62"/>
    </row>
    <row r="864" spans="1:41" ht="12.75" customHeight="1" x14ac:dyDescent="0.2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  <c r="AM864" s="62"/>
      <c r="AN864" s="62"/>
      <c r="AO864" s="62"/>
    </row>
    <row r="865" spans="1:41" ht="12.75" customHeight="1" x14ac:dyDescent="0.2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  <c r="AO865" s="62"/>
    </row>
    <row r="866" spans="1:41" ht="12.75" customHeight="1" x14ac:dyDescent="0.2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  <c r="AO866" s="62"/>
    </row>
    <row r="867" spans="1:41" ht="12.75" customHeight="1" x14ac:dyDescent="0.2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  <c r="AO867" s="62"/>
    </row>
    <row r="868" spans="1:41" ht="12.75" customHeight="1" x14ac:dyDescent="0.2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  <c r="AM868" s="62"/>
      <c r="AN868" s="62"/>
      <c r="AO868" s="62"/>
    </row>
    <row r="869" spans="1:41" ht="12.75" customHeight="1" x14ac:dyDescent="0.2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  <c r="AM869" s="62"/>
      <c r="AN869" s="62"/>
      <c r="AO869" s="62"/>
    </row>
    <row r="870" spans="1:41" ht="12.75" customHeight="1" x14ac:dyDescent="0.2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  <c r="AM870" s="62"/>
      <c r="AN870" s="62"/>
      <c r="AO870" s="62"/>
    </row>
    <row r="871" spans="1:41" ht="12.75" customHeight="1" x14ac:dyDescent="0.2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  <c r="AM871" s="62"/>
      <c r="AN871" s="62"/>
      <c r="AO871" s="62"/>
    </row>
    <row r="872" spans="1:41" ht="12.75" customHeight="1" x14ac:dyDescent="0.2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  <c r="AM872" s="62"/>
      <c r="AN872" s="62"/>
      <c r="AO872" s="62"/>
    </row>
    <row r="873" spans="1:41" ht="12.75" customHeight="1" x14ac:dyDescent="0.2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  <c r="AM873" s="62"/>
      <c r="AN873" s="62"/>
      <c r="AO873" s="62"/>
    </row>
    <row r="874" spans="1:41" ht="12.75" customHeight="1" x14ac:dyDescent="0.2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  <c r="AM874" s="62"/>
      <c r="AN874" s="62"/>
      <c r="AO874" s="62"/>
    </row>
    <row r="875" spans="1:41" ht="12.75" customHeight="1" x14ac:dyDescent="0.2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  <c r="AM875" s="62"/>
      <c r="AN875" s="62"/>
      <c r="AO875" s="62"/>
    </row>
    <row r="876" spans="1:41" ht="12.75" customHeight="1" x14ac:dyDescent="0.2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  <c r="AM876" s="62"/>
      <c r="AN876" s="62"/>
      <c r="AO876" s="62"/>
    </row>
    <row r="877" spans="1:41" ht="12.75" customHeight="1" x14ac:dyDescent="0.2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  <c r="AO877" s="62"/>
    </row>
    <row r="878" spans="1:41" ht="12.75" customHeight="1" x14ac:dyDescent="0.2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  <c r="AO878" s="62"/>
    </row>
    <row r="879" spans="1:41" ht="12.75" customHeight="1" x14ac:dyDescent="0.2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  <c r="AM879" s="62"/>
      <c r="AN879" s="62"/>
      <c r="AO879" s="62"/>
    </row>
    <row r="880" spans="1:41" ht="12.75" customHeight="1" x14ac:dyDescent="0.2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  <c r="AM880" s="62"/>
      <c r="AN880" s="62"/>
      <c r="AO880" s="62"/>
    </row>
    <row r="881" spans="1:41" ht="12.75" customHeight="1" x14ac:dyDescent="0.2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  <c r="AM881" s="62"/>
      <c r="AN881" s="62"/>
      <c r="AO881" s="62"/>
    </row>
    <row r="882" spans="1:41" ht="12.75" customHeight="1" x14ac:dyDescent="0.2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  <c r="AO882" s="62"/>
    </row>
    <row r="883" spans="1:41" ht="12.75" customHeight="1" x14ac:dyDescent="0.2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  <c r="AM883" s="62"/>
      <c r="AN883" s="62"/>
      <c r="AO883" s="62"/>
    </row>
    <row r="884" spans="1:41" ht="12.75" customHeight="1" x14ac:dyDescent="0.2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  <c r="AO884" s="62"/>
    </row>
    <row r="885" spans="1:41" ht="12.75" customHeight="1" x14ac:dyDescent="0.2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  <c r="AM885" s="62"/>
      <c r="AN885" s="62"/>
      <c r="AO885" s="62"/>
    </row>
    <row r="886" spans="1:41" ht="12.75" customHeight="1" x14ac:dyDescent="0.2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  <c r="AO886" s="62"/>
    </row>
    <row r="887" spans="1:41" ht="12.75" customHeight="1" x14ac:dyDescent="0.2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/>
      <c r="AI887" s="62"/>
      <c r="AJ887" s="62"/>
      <c r="AK887" s="62"/>
      <c r="AL887" s="62"/>
      <c r="AM887" s="62"/>
      <c r="AN887" s="62"/>
      <c r="AO887" s="62"/>
    </row>
    <row r="888" spans="1:41" ht="12.75" customHeight="1" x14ac:dyDescent="0.2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/>
      <c r="AI888" s="62"/>
      <c r="AJ888" s="62"/>
      <c r="AK888" s="62"/>
      <c r="AL888" s="62"/>
      <c r="AM888" s="62"/>
      <c r="AN888" s="62"/>
      <c r="AO888" s="62"/>
    </row>
    <row r="889" spans="1:41" ht="12.75" customHeight="1" x14ac:dyDescent="0.2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  <c r="AM889" s="62"/>
      <c r="AN889" s="62"/>
      <c r="AO889" s="62"/>
    </row>
    <row r="890" spans="1:41" ht="12.75" customHeight="1" x14ac:dyDescent="0.2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  <c r="AM890" s="62"/>
      <c r="AN890" s="62"/>
      <c r="AO890" s="62"/>
    </row>
    <row r="891" spans="1:41" ht="12.75" customHeight="1" x14ac:dyDescent="0.2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  <c r="AO891" s="62"/>
    </row>
    <row r="892" spans="1:41" ht="12.75" customHeight="1" x14ac:dyDescent="0.2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  <c r="AO892" s="62"/>
    </row>
    <row r="893" spans="1:41" ht="12.75" customHeight="1" x14ac:dyDescent="0.2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  <c r="AM893" s="62"/>
      <c r="AN893" s="62"/>
      <c r="AO893" s="62"/>
    </row>
    <row r="894" spans="1:41" ht="12.75" customHeight="1" x14ac:dyDescent="0.2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  <c r="AM894" s="62"/>
      <c r="AN894" s="62"/>
      <c r="AO894" s="62"/>
    </row>
    <row r="895" spans="1:41" ht="12.75" customHeight="1" x14ac:dyDescent="0.2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  <c r="AM895" s="62"/>
      <c r="AN895" s="62"/>
      <c r="AO895" s="62"/>
    </row>
    <row r="896" spans="1:41" ht="12.75" customHeight="1" x14ac:dyDescent="0.2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  <c r="AM896" s="62"/>
      <c r="AN896" s="62"/>
      <c r="AO896" s="62"/>
    </row>
    <row r="897" spans="1:41" ht="12.75" customHeight="1" x14ac:dyDescent="0.2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  <c r="AO897" s="62"/>
    </row>
    <row r="898" spans="1:41" ht="12.75" customHeight="1" x14ac:dyDescent="0.2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  <c r="AM898" s="62"/>
      <c r="AN898" s="62"/>
      <c r="AO898" s="62"/>
    </row>
    <row r="899" spans="1:41" ht="12.75" customHeight="1" x14ac:dyDescent="0.2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/>
      <c r="AI899" s="62"/>
      <c r="AJ899" s="62"/>
      <c r="AK899" s="62"/>
      <c r="AL899" s="62"/>
      <c r="AM899" s="62"/>
      <c r="AN899" s="62"/>
      <c r="AO899" s="62"/>
    </row>
    <row r="900" spans="1:41" ht="12.75" customHeight="1" x14ac:dyDescent="0.2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/>
      <c r="AI900" s="62"/>
      <c r="AJ900" s="62"/>
      <c r="AK900" s="62"/>
      <c r="AL900" s="62"/>
      <c r="AM900" s="62"/>
      <c r="AN900" s="62"/>
      <c r="AO900" s="62"/>
    </row>
    <row r="901" spans="1:41" ht="12.75" customHeight="1" x14ac:dyDescent="0.2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/>
      <c r="AI901" s="62"/>
      <c r="AJ901" s="62"/>
      <c r="AK901" s="62"/>
      <c r="AL901" s="62"/>
      <c r="AM901" s="62"/>
      <c r="AN901" s="62"/>
      <c r="AO901" s="62"/>
    </row>
    <row r="902" spans="1:41" ht="12.75" customHeight="1" x14ac:dyDescent="0.2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/>
      <c r="AI902" s="62"/>
      <c r="AJ902" s="62"/>
      <c r="AK902" s="62"/>
      <c r="AL902" s="62"/>
      <c r="AM902" s="62"/>
      <c r="AN902" s="62"/>
      <c r="AO902" s="62"/>
    </row>
    <row r="903" spans="1:41" ht="12.75" customHeight="1" x14ac:dyDescent="0.2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  <c r="AM903" s="62"/>
      <c r="AN903" s="62"/>
      <c r="AO903" s="62"/>
    </row>
    <row r="904" spans="1:41" ht="12.75" customHeight="1" x14ac:dyDescent="0.2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/>
      <c r="AI904" s="62"/>
      <c r="AJ904" s="62"/>
      <c r="AK904" s="62"/>
      <c r="AL904" s="62"/>
      <c r="AM904" s="62"/>
      <c r="AN904" s="62"/>
      <c r="AO904" s="62"/>
    </row>
    <row r="905" spans="1:41" ht="12.75" customHeight="1" x14ac:dyDescent="0.2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/>
      <c r="AI905" s="62"/>
      <c r="AJ905" s="62"/>
      <c r="AK905" s="62"/>
      <c r="AL905" s="62"/>
      <c r="AM905" s="62"/>
      <c r="AN905" s="62"/>
      <c r="AO905" s="62"/>
    </row>
    <row r="906" spans="1:41" ht="12.75" customHeight="1" x14ac:dyDescent="0.2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/>
      <c r="AI906" s="62"/>
      <c r="AJ906" s="62"/>
      <c r="AK906" s="62"/>
      <c r="AL906" s="62"/>
      <c r="AM906" s="62"/>
      <c r="AN906" s="62"/>
      <c r="AO906" s="62"/>
    </row>
    <row r="907" spans="1:41" ht="12.75" customHeight="1" x14ac:dyDescent="0.2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  <c r="AM907" s="62"/>
      <c r="AN907" s="62"/>
      <c r="AO907" s="62"/>
    </row>
    <row r="908" spans="1:41" ht="12.75" customHeight="1" x14ac:dyDescent="0.2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/>
      <c r="AI908" s="62"/>
      <c r="AJ908" s="62"/>
      <c r="AK908" s="62"/>
      <c r="AL908" s="62"/>
      <c r="AM908" s="62"/>
      <c r="AN908" s="62"/>
      <c r="AO908" s="62"/>
    </row>
    <row r="909" spans="1:41" ht="12.75" customHeight="1" x14ac:dyDescent="0.2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2"/>
      <c r="AM909" s="62"/>
      <c r="AN909" s="62"/>
      <c r="AO909" s="62"/>
    </row>
    <row r="910" spans="1:41" ht="12.75" customHeight="1" x14ac:dyDescent="0.2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/>
      <c r="AI910" s="62"/>
      <c r="AJ910" s="62"/>
      <c r="AK910" s="62"/>
      <c r="AL910" s="62"/>
      <c r="AM910" s="62"/>
      <c r="AN910" s="62"/>
      <c r="AO910" s="62"/>
    </row>
    <row r="911" spans="1:41" ht="12.75" customHeight="1" x14ac:dyDescent="0.2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/>
      <c r="AI911" s="62"/>
      <c r="AJ911" s="62"/>
      <c r="AK911" s="62"/>
      <c r="AL911" s="62"/>
      <c r="AM911" s="62"/>
      <c r="AN911" s="62"/>
      <c r="AO911" s="62"/>
    </row>
    <row r="912" spans="1:41" ht="12.75" customHeight="1" x14ac:dyDescent="0.2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/>
      <c r="AI912" s="62"/>
      <c r="AJ912" s="62"/>
      <c r="AK912" s="62"/>
      <c r="AL912" s="62"/>
      <c r="AM912" s="62"/>
      <c r="AN912" s="62"/>
      <c r="AO912" s="62"/>
    </row>
    <row r="913" spans="1:41" ht="12.75" customHeight="1" x14ac:dyDescent="0.2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  <c r="AG913" s="62"/>
      <c r="AH913" s="62"/>
      <c r="AI913" s="62"/>
      <c r="AJ913" s="62"/>
      <c r="AK913" s="62"/>
      <c r="AL913" s="62"/>
      <c r="AM913" s="62"/>
      <c r="AN913" s="62"/>
      <c r="AO913" s="62"/>
    </row>
    <row r="914" spans="1:41" ht="12.75" customHeight="1" x14ac:dyDescent="0.2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/>
      <c r="AI914" s="62"/>
      <c r="AJ914" s="62"/>
      <c r="AK914" s="62"/>
      <c r="AL914" s="62"/>
      <c r="AM914" s="62"/>
      <c r="AN914" s="62"/>
      <c r="AO914" s="62"/>
    </row>
    <row r="915" spans="1:41" ht="12.75" customHeight="1" x14ac:dyDescent="0.2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/>
      <c r="AI915" s="62"/>
      <c r="AJ915" s="62"/>
      <c r="AK915" s="62"/>
      <c r="AL915" s="62"/>
      <c r="AM915" s="62"/>
      <c r="AN915" s="62"/>
      <c r="AO915" s="62"/>
    </row>
    <row r="916" spans="1:41" ht="12.75" customHeight="1" x14ac:dyDescent="0.2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/>
      <c r="AI916" s="62"/>
      <c r="AJ916" s="62"/>
      <c r="AK916" s="62"/>
      <c r="AL916" s="62"/>
      <c r="AM916" s="62"/>
      <c r="AN916" s="62"/>
      <c r="AO916" s="62"/>
    </row>
    <row r="917" spans="1:41" ht="12.75" customHeight="1" x14ac:dyDescent="0.2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  <c r="AM917" s="62"/>
      <c r="AN917" s="62"/>
      <c r="AO917" s="62"/>
    </row>
    <row r="918" spans="1:41" ht="12.75" customHeight="1" x14ac:dyDescent="0.2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  <c r="AM918" s="62"/>
      <c r="AN918" s="62"/>
      <c r="AO918" s="62"/>
    </row>
    <row r="919" spans="1:41" ht="12.75" customHeight="1" x14ac:dyDescent="0.2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/>
      <c r="AI919" s="62"/>
      <c r="AJ919" s="62"/>
      <c r="AK919" s="62"/>
      <c r="AL919" s="62"/>
      <c r="AM919" s="62"/>
      <c r="AN919" s="62"/>
      <c r="AO919" s="62"/>
    </row>
    <row r="920" spans="1:41" ht="12.75" customHeight="1" x14ac:dyDescent="0.2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41" ht="12.75" customHeight="1" x14ac:dyDescent="0.2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/>
      <c r="AI921" s="62"/>
      <c r="AJ921" s="62"/>
      <c r="AK921" s="62"/>
      <c r="AL921" s="62"/>
      <c r="AM921" s="62"/>
      <c r="AN921" s="62"/>
      <c r="AO921" s="62"/>
    </row>
    <row r="922" spans="1:41" ht="12.75" customHeight="1" x14ac:dyDescent="0.2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/>
      <c r="AI922" s="62"/>
      <c r="AJ922" s="62"/>
      <c r="AK922" s="62"/>
      <c r="AL922" s="62"/>
      <c r="AM922" s="62"/>
      <c r="AN922" s="62"/>
      <c r="AO922" s="62"/>
    </row>
    <row r="923" spans="1:41" ht="12.75" customHeight="1" x14ac:dyDescent="0.2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/>
      <c r="AI923" s="62"/>
      <c r="AJ923" s="62"/>
      <c r="AK923" s="62"/>
      <c r="AL923" s="62"/>
      <c r="AM923" s="62"/>
      <c r="AN923" s="62"/>
      <c r="AO923" s="62"/>
    </row>
    <row r="924" spans="1:41" ht="12.75" customHeight="1" x14ac:dyDescent="0.2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/>
      <c r="AI924" s="62"/>
      <c r="AJ924" s="62"/>
      <c r="AK924" s="62"/>
      <c r="AL924" s="62"/>
      <c r="AM924" s="62"/>
      <c r="AN924" s="62"/>
      <c r="AO924" s="62"/>
    </row>
    <row r="925" spans="1:41" ht="12.75" customHeight="1" x14ac:dyDescent="0.2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/>
      <c r="AI925" s="62"/>
      <c r="AJ925" s="62"/>
      <c r="AK925" s="62"/>
      <c r="AL925" s="62"/>
      <c r="AM925" s="62"/>
      <c r="AN925" s="62"/>
      <c r="AO925" s="62"/>
    </row>
    <row r="926" spans="1:41" ht="12.75" customHeight="1" x14ac:dyDescent="0.2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/>
      <c r="AI926" s="62"/>
      <c r="AJ926" s="62"/>
      <c r="AK926" s="62"/>
      <c r="AL926" s="62"/>
      <c r="AM926" s="62"/>
      <c r="AN926" s="62"/>
      <c r="AO926" s="62"/>
    </row>
    <row r="927" spans="1:41" ht="12.75" customHeight="1" x14ac:dyDescent="0.2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/>
      <c r="AI927" s="62"/>
      <c r="AJ927" s="62"/>
      <c r="AK927" s="62"/>
      <c r="AL927" s="62"/>
      <c r="AM927" s="62"/>
      <c r="AN927" s="62"/>
      <c r="AO927" s="62"/>
    </row>
    <row r="928" spans="1:41" ht="12.75" customHeight="1" x14ac:dyDescent="0.2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  <c r="AM928" s="62"/>
      <c r="AN928" s="62"/>
      <c r="AO928" s="62"/>
    </row>
    <row r="929" spans="1:41" ht="12.75" customHeight="1" x14ac:dyDescent="0.2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  <c r="AM929" s="62"/>
      <c r="AN929" s="62"/>
      <c r="AO929" s="62"/>
    </row>
    <row r="930" spans="1:41" ht="12.75" customHeight="1" x14ac:dyDescent="0.2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/>
      <c r="AI930" s="62"/>
      <c r="AJ930" s="62"/>
      <c r="AK930" s="62"/>
      <c r="AL930" s="62"/>
      <c r="AM930" s="62"/>
      <c r="AN930" s="62"/>
      <c r="AO930" s="62"/>
    </row>
    <row r="931" spans="1:41" ht="12.75" customHeight="1" x14ac:dyDescent="0.2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/>
      <c r="AI931" s="62"/>
      <c r="AJ931" s="62"/>
      <c r="AK931" s="62"/>
      <c r="AL931" s="62"/>
      <c r="AM931" s="62"/>
      <c r="AN931" s="62"/>
      <c r="AO931" s="62"/>
    </row>
    <row r="932" spans="1:41" ht="12.75" customHeight="1" x14ac:dyDescent="0.2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/>
      <c r="AI932" s="62"/>
      <c r="AJ932" s="62"/>
      <c r="AK932" s="62"/>
      <c r="AL932" s="62"/>
      <c r="AM932" s="62"/>
      <c r="AN932" s="62"/>
      <c r="AO932" s="62"/>
    </row>
    <row r="933" spans="1:41" ht="12.75" customHeight="1" x14ac:dyDescent="0.2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/>
      <c r="AI933" s="62"/>
      <c r="AJ933" s="62"/>
      <c r="AK933" s="62"/>
      <c r="AL933" s="62"/>
      <c r="AM933" s="62"/>
      <c r="AN933" s="62"/>
      <c r="AO933" s="62"/>
    </row>
    <row r="934" spans="1:41" ht="12.75" customHeight="1" x14ac:dyDescent="0.2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/>
      <c r="AI934" s="62"/>
      <c r="AJ934" s="62"/>
      <c r="AK934" s="62"/>
      <c r="AL934" s="62"/>
      <c r="AM934" s="62"/>
      <c r="AN934" s="62"/>
      <c r="AO934" s="62"/>
    </row>
    <row r="935" spans="1:41" ht="12.75" customHeight="1" x14ac:dyDescent="0.2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  <c r="AM935" s="62"/>
      <c r="AN935" s="62"/>
      <c r="AO935" s="62"/>
    </row>
    <row r="936" spans="1:41" ht="12.75" customHeight="1" x14ac:dyDescent="0.2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  <c r="AM936" s="62"/>
      <c r="AN936" s="62"/>
      <c r="AO936" s="62"/>
    </row>
    <row r="937" spans="1:41" ht="12.75" customHeight="1" x14ac:dyDescent="0.2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/>
      <c r="AI937" s="62"/>
      <c r="AJ937" s="62"/>
      <c r="AK937" s="62"/>
      <c r="AL937" s="62"/>
      <c r="AM937" s="62"/>
      <c r="AN937" s="62"/>
      <c r="AO937" s="62"/>
    </row>
    <row r="938" spans="1:41" ht="12.75" customHeight="1" x14ac:dyDescent="0.2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/>
      <c r="AI938" s="62"/>
      <c r="AJ938" s="62"/>
      <c r="AK938" s="62"/>
      <c r="AL938" s="62"/>
      <c r="AM938" s="62"/>
      <c r="AN938" s="62"/>
      <c r="AO938" s="62"/>
    </row>
    <row r="939" spans="1:41" ht="12.75" customHeight="1" x14ac:dyDescent="0.2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/>
      <c r="AI939" s="62"/>
      <c r="AJ939" s="62"/>
      <c r="AK939" s="62"/>
      <c r="AL939" s="62"/>
      <c r="AM939" s="62"/>
      <c r="AN939" s="62"/>
      <c r="AO939" s="62"/>
    </row>
    <row r="940" spans="1:41" ht="12.75" customHeight="1" x14ac:dyDescent="0.2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  <c r="AM940" s="62"/>
      <c r="AN940" s="62"/>
      <c r="AO940" s="62"/>
    </row>
    <row r="941" spans="1:41" ht="12.75" customHeight="1" x14ac:dyDescent="0.2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  <c r="AM941" s="62"/>
      <c r="AN941" s="62"/>
      <c r="AO941" s="62"/>
    </row>
    <row r="942" spans="1:41" ht="12.75" customHeight="1" x14ac:dyDescent="0.2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  <c r="AM942" s="62"/>
      <c r="AN942" s="62"/>
      <c r="AO942" s="62"/>
    </row>
    <row r="943" spans="1:41" ht="12.75" customHeight="1" x14ac:dyDescent="0.2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/>
      <c r="AI943" s="62"/>
      <c r="AJ943" s="62"/>
      <c r="AK943" s="62"/>
      <c r="AL943" s="62"/>
      <c r="AM943" s="62"/>
      <c r="AN943" s="62"/>
      <c r="AO943" s="62"/>
    </row>
    <row r="944" spans="1:41" ht="12.75" customHeight="1" x14ac:dyDescent="0.2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  <c r="AM944" s="62"/>
      <c r="AN944" s="62"/>
      <c r="AO944" s="62"/>
    </row>
    <row r="945" spans="1:41" ht="12.75" customHeight="1" x14ac:dyDescent="0.2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/>
      <c r="AI945" s="62"/>
      <c r="AJ945" s="62"/>
      <c r="AK945" s="62"/>
      <c r="AL945" s="62"/>
      <c r="AM945" s="62"/>
      <c r="AN945" s="62"/>
      <c r="AO945" s="62"/>
    </row>
    <row r="946" spans="1:41" ht="12.75" customHeight="1" x14ac:dyDescent="0.2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/>
      <c r="AI946" s="62"/>
      <c r="AJ946" s="62"/>
      <c r="AK946" s="62"/>
      <c r="AL946" s="62"/>
      <c r="AM946" s="62"/>
      <c r="AN946" s="62"/>
      <c r="AO946" s="62"/>
    </row>
    <row r="947" spans="1:41" ht="12.75" customHeight="1" x14ac:dyDescent="0.2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/>
      <c r="AI947" s="62"/>
      <c r="AJ947" s="62"/>
      <c r="AK947" s="62"/>
      <c r="AL947" s="62"/>
      <c r="AM947" s="62"/>
      <c r="AN947" s="62"/>
      <c r="AO947" s="62"/>
    </row>
    <row r="948" spans="1:41" ht="12.75" customHeight="1" x14ac:dyDescent="0.2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/>
      <c r="AI948" s="62"/>
      <c r="AJ948" s="62"/>
      <c r="AK948" s="62"/>
      <c r="AL948" s="62"/>
      <c r="AM948" s="62"/>
      <c r="AN948" s="62"/>
      <c r="AO948" s="62"/>
    </row>
    <row r="949" spans="1:41" ht="12.75" customHeight="1" x14ac:dyDescent="0.2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  <c r="AM949" s="62"/>
      <c r="AN949" s="62"/>
      <c r="AO949" s="62"/>
    </row>
    <row r="950" spans="1:41" ht="12.75" customHeight="1" x14ac:dyDescent="0.2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  <c r="AM950" s="62"/>
      <c r="AN950" s="62"/>
      <c r="AO950" s="62"/>
    </row>
    <row r="951" spans="1:41" ht="12.75" customHeight="1" x14ac:dyDescent="0.2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/>
      <c r="AI951" s="62"/>
      <c r="AJ951" s="62"/>
      <c r="AK951" s="62"/>
      <c r="AL951" s="62"/>
      <c r="AM951" s="62"/>
      <c r="AN951" s="62"/>
      <c r="AO951" s="62"/>
    </row>
    <row r="952" spans="1:41" ht="12.75" customHeight="1" x14ac:dyDescent="0.2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  <c r="AM952" s="62"/>
      <c r="AN952" s="62"/>
      <c r="AO952" s="62"/>
    </row>
    <row r="953" spans="1:41" ht="12.75" customHeight="1" x14ac:dyDescent="0.2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/>
      <c r="AI953" s="62"/>
      <c r="AJ953" s="62"/>
      <c r="AK953" s="62"/>
      <c r="AL953" s="62"/>
      <c r="AM953" s="62"/>
      <c r="AN953" s="62"/>
      <c r="AO953" s="62"/>
    </row>
    <row r="954" spans="1:41" ht="12.75" customHeight="1" x14ac:dyDescent="0.2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/>
      <c r="AI954" s="62"/>
      <c r="AJ954" s="62"/>
      <c r="AK954" s="62"/>
      <c r="AL954" s="62"/>
      <c r="AM954" s="62"/>
      <c r="AN954" s="62"/>
      <c r="AO954" s="62"/>
    </row>
    <row r="955" spans="1:41" ht="12.75" customHeight="1" x14ac:dyDescent="0.2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/>
      <c r="AI955" s="62"/>
      <c r="AJ955" s="62"/>
      <c r="AK955" s="62"/>
      <c r="AL955" s="62"/>
      <c r="AM955" s="62"/>
      <c r="AN955" s="62"/>
      <c r="AO955" s="62"/>
    </row>
    <row r="956" spans="1:41" ht="12.75" customHeight="1" x14ac:dyDescent="0.2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  <c r="AM956" s="62"/>
      <c r="AN956" s="62"/>
      <c r="AO956" s="62"/>
    </row>
    <row r="957" spans="1:41" ht="12.75" customHeight="1" x14ac:dyDescent="0.2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  <c r="AM957" s="62"/>
      <c r="AN957" s="62"/>
      <c r="AO957" s="62"/>
    </row>
    <row r="958" spans="1:41" ht="12.75" customHeight="1" x14ac:dyDescent="0.2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  <c r="AM958" s="62"/>
      <c r="AN958" s="62"/>
      <c r="AO958" s="62"/>
    </row>
    <row r="959" spans="1:41" ht="12.75" customHeight="1" x14ac:dyDescent="0.2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  <c r="AM959" s="62"/>
      <c r="AN959" s="62"/>
      <c r="AO959" s="62"/>
    </row>
    <row r="960" spans="1:41" ht="12.75" customHeight="1" x14ac:dyDescent="0.2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/>
      <c r="AI960" s="62"/>
      <c r="AJ960" s="62"/>
      <c r="AK960" s="62"/>
      <c r="AL960" s="62"/>
      <c r="AM960" s="62"/>
      <c r="AN960" s="62"/>
      <c r="AO960" s="62"/>
    </row>
    <row r="961" spans="1:41" ht="12.75" customHeight="1" x14ac:dyDescent="0.2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  <c r="AM961" s="62"/>
      <c r="AN961" s="62"/>
      <c r="AO961" s="62"/>
    </row>
    <row r="962" spans="1:41" ht="12.75" customHeight="1" x14ac:dyDescent="0.2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  <c r="AM962" s="62"/>
      <c r="AN962" s="62"/>
      <c r="AO962" s="62"/>
    </row>
    <row r="963" spans="1:41" ht="12.75" customHeight="1" x14ac:dyDescent="0.2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  <c r="AM963" s="62"/>
      <c r="AN963" s="62"/>
      <c r="AO963" s="62"/>
    </row>
    <row r="964" spans="1:41" ht="12.75" customHeight="1" x14ac:dyDescent="0.2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  <c r="AM964" s="62"/>
      <c r="AN964" s="62"/>
      <c r="AO964" s="62"/>
    </row>
    <row r="965" spans="1:41" ht="12.75" customHeight="1" x14ac:dyDescent="0.2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  <c r="AM965" s="62"/>
      <c r="AN965" s="62"/>
      <c r="AO965" s="62"/>
    </row>
    <row r="966" spans="1:41" ht="12.75" customHeight="1" x14ac:dyDescent="0.2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/>
      <c r="AI966" s="62"/>
      <c r="AJ966" s="62"/>
      <c r="AK966" s="62"/>
      <c r="AL966" s="62"/>
      <c r="AM966" s="62"/>
      <c r="AN966" s="62"/>
      <c r="AO966" s="62"/>
    </row>
    <row r="967" spans="1:41" ht="12.75" customHeight="1" x14ac:dyDescent="0.2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/>
      <c r="AI967" s="62"/>
      <c r="AJ967" s="62"/>
      <c r="AK967" s="62"/>
      <c r="AL967" s="62"/>
      <c r="AM967" s="62"/>
      <c r="AN967" s="62"/>
      <c r="AO967" s="62"/>
    </row>
    <row r="968" spans="1:41" ht="12.75" customHeight="1" x14ac:dyDescent="0.2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/>
      <c r="AI968" s="62"/>
      <c r="AJ968" s="62"/>
      <c r="AK968" s="62"/>
      <c r="AL968" s="62"/>
      <c r="AM968" s="62"/>
      <c r="AN968" s="62"/>
      <c r="AO968" s="62"/>
    </row>
    <row r="969" spans="1:41" ht="12.75" customHeight="1" x14ac:dyDescent="0.2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/>
      <c r="AH969" s="62"/>
      <c r="AI969" s="62"/>
      <c r="AJ969" s="62"/>
      <c r="AK969" s="62"/>
      <c r="AL969" s="62"/>
      <c r="AM969" s="62"/>
      <c r="AN969" s="62"/>
      <c r="AO969" s="62"/>
    </row>
    <row r="970" spans="1:41" ht="12.75" customHeight="1" x14ac:dyDescent="0.2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  <c r="AM970" s="62"/>
      <c r="AN970" s="62"/>
      <c r="AO970" s="62"/>
    </row>
    <row r="971" spans="1:41" ht="12.75" customHeight="1" x14ac:dyDescent="0.2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  <c r="AM971" s="62"/>
      <c r="AN971" s="62"/>
      <c r="AO971" s="62"/>
    </row>
    <row r="972" spans="1:41" ht="12.75" customHeight="1" x14ac:dyDescent="0.2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/>
      <c r="AI972" s="62"/>
      <c r="AJ972" s="62"/>
      <c r="AK972" s="62"/>
      <c r="AL972" s="62"/>
      <c r="AM972" s="62"/>
      <c r="AN972" s="62"/>
      <c r="AO972" s="62"/>
    </row>
    <row r="973" spans="1:41" ht="12.75" customHeight="1" x14ac:dyDescent="0.2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  <c r="AO973" s="62"/>
    </row>
    <row r="974" spans="1:41" ht="12.75" customHeight="1" x14ac:dyDescent="0.2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/>
      <c r="AI974" s="62"/>
      <c r="AJ974" s="62"/>
      <c r="AK974" s="62"/>
      <c r="AL974" s="62"/>
      <c r="AM974" s="62"/>
      <c r="AN974" s="62"/>
      <c r="AO974" s="62"/>
    </row>
    <row r="975" spans="1:41" ht="12.75" customHeight="1" x14ac:dyDescent="0.2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  <c r="AM975" s="62"/>
      <c r="AN975" s="62"/>
      <c r="AO975" s="62"/>
    </row>
    <row r="976" spans="1:41" ht="12.75" customHeight="1" x14ac:dyDescent="0.2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  <c r="AM976" s="62"/>
      <c r="AN976" s="62"/>
      <c r="AO976" s="62"/>
    </row>
    <row r="977" spans="1:41" ht="12.75" customHeight="1" x14ac:dyDescent="0.2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  <c r="AM977" s="62"/>
      <c r="AN977" s="62"/>
      <c r="AO977" s="62"/>
    </row>
    <row r="978" spans="1:41" ht="12.75" customHeight="1" x14ac:dyDescent="0.2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/>
      <c r="AI978" s="62"/>
      <c r="AJ978" s="62"/>
      <c r="AK978" s="62"/>
      <c r="AL978" s="62"/>
      <c r="AM978" s="62"/>
      <c r="AN978" s="62"/>
      <c r="AO978" s="62"/>
    </row>
    <row r="979" spans="1:41" ht="12.75" customHeight="1" x14ac:dyDescent="0.2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  <c r="AM979" s="62"/>
      <c r="AN979" s="62"/>
      <c r="AO979" s="62"/>
    </row>
    <row r="980" spans="1:41" ht="12.75" customHeight="1" x14ac:dyDescent="0.2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  <c r="AM980" s="62"/>
      <c r="AN980" s="62"/>
      <c r="AO980" s="62"/>
    </row>
    <row r="981" spans="1:41" ht="12.75" customHeight="1" x14ac:dyDescent="0.2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  <c r="AO981" s="62"/>
    </row>
    <row r="982" spans="1:41" ht="12.75" customHeight="1" x14ac:dyDescent="0.2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  <c r="AM982" s="62"/>
      <c r="AN982" s="62"/>
      <c r="AO982" s="62"/>
    </row>
    <row r="983" spans="1:41" ht="12.75" customHeight="1" x14ac:dyDescent="0.2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/>
      <c r="AI983" s="62"/>
      <c r="AJ983" s="62"/>
      <c r="AK983" s="62"/>
      <c r="AL983" s="62"/>
      <c r="AM983" s="62"/>
      <c r="AN983" s="62"/>
      <c r="AO983" s="62"/>
    </row>
    <row r="984" spans="1:41" ht="12.75" customHeight="1" x14ac:dyDescent="0.2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  <c r="AO984" s="62"/>
    </row>
    <row r="985" spans="1:41" ht="12.75" customHeight="1" x14ac:dyDescent="0.2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  <c r="AM985" s="62"/>
      <c r="AN985" s="62"/>
      <c r="AO985" s="62"/>
    </row>
    <row r="986" spans="1:41" ht="12.75" customHeight="1" x14ac:dyDescent="0.2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/>
      <c r="AI986" s="62"/>
      <c r="AJ986" s="62"/>
      <c r="AK986" s="62"/>
      <c r="AL986" s="62"/>
      <c r="AM986" s="62"/>
      <c r="AN986" s="62"/>
      <c r="AO986" s="62"/>
    </row>
    <row r="987" spans="1:41" ht="12.75" customHeight="1" x14ac:dyDescent="0.2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  <c r="AM987" s="62"/>
      <c r="AN987" s="62"/>
      <c r="AO987" s="62"/>
    </row>
    <row r="988" spans="1:41" ht="12.75" customHeight="1" x14ac:dyDescent="0.2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  <c r="AM988" s="62"/>
      <c r="AN988" s="62"/>
      <c r="AO988" s="62"/>
    </row>
    <row r="989" spans="1:41" ht="12.75" customHeight="1" x14ac:dyDescent="0.2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  <c r="AM989" s="62"/>
      <c r="AN989" s="62"/>
      <c r="AO989" s="62"/>
    </row>
    <row r="990" spans="1:41" ht="12.75" customHeight="1" x14ac:dyDescent="0.2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/>
      <c r="AI990" s="62"/>
      <c r="AJ990" s="62"/>
      <c r="AK990" s="62"/>
      <c r="AL990" s="62"/>
      <c r="AM990" s="62"/>
      <c r="AN990" s="62"/>
      <c r="AO990" s="62"/>
    </row>
    <row r="991" spans="1:41" ht="12.75" customHeight="1" x14ac:dyDescent="0.2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/>
      <c r="AI991" s="62"/>
      <c r="AJ991" s="62"/>
      <c r="AK991" s="62"/>
      <c r="AL991" s="62"/>
      <c r="AM991" s="62"/>
      <c r="AN991" s="62"/>
      <c r="AO991" s="62"/>
    </row>
    <row r="992" spans="1:41" ht="12.75" customHeight="1" x14ac:dyDescent="0.2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  <c r="AG992" s="62"/>
      <c r="AH992" s="62"/>
      <c r="AI992" s="62"/>
      <c r="AJ992" s="62"/>
      <c r="AK992" s="62"/>
      <c r="AL992" s="62"/>
      <c r="AM992" s="62"/>
      <c r="AN992" s="62"/>
      <c r="AO992" s="62"/>
    </row>
    <row r="993" spans="1:41" ht="12.75" customHeight="1" x14ac:dyDescent="0.2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/>
      <c r="AI993" s="62"/>
      <c r="AJ993" s="62"/>
      <c r="AK993" s="62"/>
      <c r="AL993" s="62"/>
      <c r="AM993" s="62"/>
      <c r="AN993" s="62"/>
      <c r="AO993" s="62"/>
    </row>
    <row r="994" spans="1:41" ht="12.75" customHeight="1" x14ac:dyDescent="0.2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  <c r="AM994" s="62"/>
      <c r="AN994" s="62"/>
      <c r="AO994" s="62"/>
    </row>
    <row r="995" spans="1:41" ht="12.75" customHeight="1" x14ac:dyDescent="0.2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/>
      <c r="AI995" s="62"/>
      <c r="AJ995" s="62"/>
      <c r="AK995" s="62"/>
      <c r="AL995" s="62"/>
      <c r="AM995" s="62"/>
      <c r="AN995" s="62"/>
      <c r="AO995" s="62"/>
    </row>
    <row r="996" spans="1:41" ht="12.75" customHeight="1" x14ac:dyDescent="0.2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/>
      <c r="AI996" s="62"/>
      <c r="AJ996" s="62"/>
      <c r="AK996" s="62"/>
      <c r="AL996" s="62"/>
      <c r="AM996" s="62"/>
      <c r="AN996" s="62"/>
      <c r="AO996" s="62"/>
    </row>
    <row r="997" spans="1:41" ht="12.75" customHeight="1" x14ac:dyDescent="0.2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/>
      <c r="AI997" s="62"/>
      <c r="AJ997" s="62"/>
      <c r="AK997" s="62"/>
      <c r="AL997" s="62"/>
      <c r="AM997" s="62"/>
      <c r="AN997" s="62"/>
      <c r="AO997" s="62"/>
    </row>
    <row r="998" spans="1:41" ht="12.75" customHeight="1" x14ac:dyDescent="0.2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  <c r="AG998" s="62"/>
      <c r="AH998" s="62"/>
      <c r="AI998" s="62"/>
      <c r="AJ998" s="62"/>
      <c r="AK998" s="62"/>
      <c r="AL998" s="62"/>
      <c r="AM998" s="62"/>
      <c r="AN998" s="62"/>
      <c r="AO998" s="62"/>
    </row>
    <row r="999" spans="1:41" ht="12.75" customHeight="1" x14ac:dyDescent="0.2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  <c r="AG999" s="62"/>
      <c r="AH999" s="62"/>
      <c r="AI999" s="62"/>
      <c r="AJ999" s="62"/>
      <c r="AK999" s="62"/>
      <c r="AL999" s="62"/>
      <c r="AM999" s="62"/>
      <c r="AN999" s="62"/>
      <c r="AO999" s="62"/>
    </row>
    <row r="1000" spans="1:41" ht="12.75" customHeight="1" x14ac:dyDescent="0.2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  <c r="AD1000" s="62"/>
      <c r="AE1000" s="62"/>
      <c r="AF1000" s="62"/>
      <c r="AG1000" s="62"/>
      <c r="AH1000" s="62"/>
      <c r="AI1000" s="62"/>
      <c r="AJ1000" s="62"/>
      <c r="AK1000" s="62"/>
      <c r="AL1000" s="62"/>
      <c r="AM1000" s="62"/>
      <c r="AN1000" s="62"/>
      <c r="AO1000" s="62"/>
    </row>
  </sheetData>
  <mergeCells count="21">
    <mergeCell ref="I37:K37"/>
    <mergeCell ref="I64:K64"/>
    <mergeCell ref="I65:K65"/>
    <mergeCell ref="I66:K66"/>
    <mergeCell ref="I67:K67"/>
    <mergeCell ref="I61:U61"/>
    <mergeCell ref="I39:K39"/>
    <mergeCell ref="I40:K40"/>
    <mergeCell ref="I63:K63"/>
    <mergeCell ref="I38:K38"/>
    <mergeCell ref="I59:K59"/>
    <mergeCell ref="I12:K12"/>
    <mergeCell ref="I13:K13"/>
    <mergeCell ref="I2:AE2"/>
    <mergeCell ref="I4:AE4"/>
    <mergeCell ref="I18:K18"/>
    <mergeCell ref="I16:K16"/>
    <mergeCell ref="I17:K17"/>
    <mergeCell ref="I15:K15"/>
    <mergeCell ref="I11:K11"/>
    <mergeCell ref="I14:K14"/>
  </mergeCells>
  <dataValidations count="1">
    <dataValidation type="list" allowBlank="1" showInputMessage="1" showErrorMessage="1" prompt=" - " sqref="N85:N92 N94">
      <formula1>UNIDADES</formula1>
    </dataValidation>
  </dataValidation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118"/>
  <sheetViews>
    <sheetView workbookViewId="0"/>
  </sheetViews>
  <sheetFormatPr defaultColWidth="11.21875" defaultRowHeight="15" customHeight="1" x14ac:dyDescent="0.2"/>
  <cols>
    <col min="1" max="1" width="8" customWidth="1"/>
    <col min="2" max="2" width="33.77734375" customWidth="1"/>
    <col min="3" max="8" width="8" customWidth="1"/>
    <col min="9" max="9" width="3.5546875" customWidth="1"/>
    <col min="10" max="11" width="3" customWidth="1"/>
    <col min="12" max="14" width="8" customWidth="1"/>
    <col min="15" max="15" width="3.5546875" customWidth="1"/>
    <col min="16" max="17" width="3" customWidth="1"/>
    <col min="18" max="18" width="9.77734375" customWidth="1"/>
    <col min="19" max="19" width="8" customWidth="1"/>
    <col min="20" max="20" width="3" customWidth="1"/>
    <col min="21" max="21" width="3.5546875" customWidth="1"/>
    <col min="22" max="23" width="3" customWidth="1"/>
    <col min="24" max="24" width="10.44140625" customWidth="1"/>
    <col min="25" max="26" width="8" customWidth="1"/>
    <col min="27" max="27" width="15.6640625" customWidth="1"/>
    <col min="28" max="28" width="18.44140625" customWidth="1"/>
    <col min="29" max="29" width="21.77734375" customWidth="1"/>
    <col min="30" max="30" width="15.21875" customWidth="1"/>
  </cols>
  <sheetData>
    <row r="1" spans="2:30" ht="15.75" customHeight="1" x14ac:dyDescent="0.25">
      <c r="M1" s="238" t="s">
        <v>192</v>
      </c>
      <c r="N1" s="239" t="s">
        <v>132</v>
      </c>
      <c r="O1" s="240"/>
      <c r="P1" s="240"/>
      <c r="Q1" s="240"/>
      <c r="R1" s="240"/>
      <c r="S1" s="241" t="s">
        <v>193</v>
      </c>
      <c r="T1" s="242" t="s">
        <v>194</v>
      </c>
      <c r="AA1" s="242" t="s">
        <v>195</v>
      </c>
    </row>
    <row r="2" spans="2:30" x14ac:dyDescent="0.2">
      <c r="B2" s="238" t="s">
        <v>36</v>
      </c>
      <c r="C2" s="238" t="s">
        <v>196</v>
      </c>
      <c r="E2">
        <v>11</v>
      </c>
      <c r="F2" s="238" t="s">
        <v>111</v>
      </c>
      <c r="G2" s="238" t="s">
        <v>35</v>
      </c>
      <c r="H2">
        <v>1</v>
      </c>
      <c r="I2" s="238" t="s">
        <v>100</v>
      </c>
      <c r="J2">
        <v>8</v>
      </c>
      <c r="K2">
        <v>27</v>
      </c>
      <c r="L2" t="str">
        <f t="shared" ref="L2:L21" si="0">I2&amp;J2&amp;":"&amp;I2&amp;K2</f>
        <v>J8:J27</v>
      </c>
      <c r="M2" s="245" t="str">
        <f>Amortizações!J$50</f>
        <v>Sim</v>
      </c>
      <c r="N2" s="240">
        <v>1</v>
      </c>
      <c r="O2" s="240" t="s">
        <v>100</v>
      </c>
      <c r="P2" s="240">
        <v>8</v>
      </c>
      <c r="Q2" s="240">
        <v>20</v>
      </c>
      <c r="R2" s="240" t="str">
        <f t="shared" ref="R2:R21" si="1">O2&amp;P2</f>
        <v>J8</v>
      </c>
      <c r="S2" s="245">
        <f>Amortizações!J$45</f>
        <v>0</v>
      </c>
      <c r="T2">
        <v>1</v>
      </c>
      <c r="U2" s="238" t="s">
        <v>102</v>
      </c>
      <c r="V2">
        <v>39</v>
      </c>
      <c r="W2">
        <f t="shared" ref="W2:W21" si="2">V2</f>
        <v>39</v>
      </c>
      <c r="X2" t="str">
        <f t="shared" ref="X2:X21" si="3">"L"&amp;V2&amp;":"&amp;"AE"&amp;W2</f>
        <v>L39:AE39</v>
      </c>
    </row>
    <row r="3" spans="2:30" ht="15.75" customHeight="1" x14ac:dyDescent="0.25">
      <c r="B3" s="238" t="s">
        <v>34</v>
      </c>
      <c r="C3" s="238" t="s">
        <v>206</v>
      </c>
      <c r="E3">
        <v>12</v>
      </c>
      <c r="F3" s="238" t="s">
        <v>112</v>
      </c>
      <c r="G3" s="238" t="s">
        <v>37</v>
      </c>
      <c r="H3">
        <v>2</v>
      </c>
      <c r="I3" s="238" t="s">
        <v>101</v>
      </c>
      <c r="J3">
        <v>8</v>
      </c>
      <c r="K3">
        <v>27</v>
      </c>
      <c r="L3" t="str">
        <f t="shared" si="0"/>
        <v>K8:K27</v>
      </c>
      <c r="M3" s="245" t="str">
        <f>Amortizações!K$50</f>
        <v>Não</v>
      </c>
      <c r="N3" s="240">
        <v>2</v>
      </c>
      <c r="O3" s="240" t="s">
        <v>101</v>
      </c>
      <c r="P3" s="240">
        <v>8</v>
      </c>
      <c r="Q3" s="240">
        <v>20</v>
      </c>
      <c r="R3" s="240" t="str">
        <f t="shared" si="1"/>
        <v>K8</v>
      </c>
      <c r="S3" s="245">
        <f>Amortizações!K$45</f>
        <v>0</v>
      </c>
      <c r="T3">
        <v>2</v>
      </c>
      <c r="U3" s="238" t="s">
        <v>103</v>
      </c>
      <c r="V3">
        <f t="shared" ref="V3:V21" si="4">V2+1</f>
        <v>40</v>
      </c>
      <c r="W3">
        <f t="shared" si="2"/>
        <v>40</v>
      </c>
      <c r="X3" t="str">
        <f t="shared" si="3"/>
        <v>L40:AE40</v>
      </c>
      <c r="AA3" s="239" t="s">
        <v>208</v>
      </c>
      <c r="AB3" s="239" t="s">
        <v>209</v>
      </c>
      <c r="AD3" s="239" t="s">
        <v>210</v>
      </c>
    </row>
    <row r="4" spans="2:30" x14ac:dyDescent="0.2">
      <c r="B4" s="238" t="s">
        <v>211</v>
      </c>
      <c r="C4" s="238" t="s">
        <v>212</v>
      </c>
      <c r="E4">
        <v>13</v>
      </c>
      <c r="F4" s="238" t="s">
        <v>113</v>
      </c>
      <c r="H4">
        <v>3</v>
      </c>
      <c r="I4" s="238" t="s">
        <v>102</v>
      </c>
      <c r="J4">
        <v>8</v>
      </c>
      <c r="K4">
        <v>27</v>
      </c>
      <c r="L4" t="str">
        <f t="shared" si="0"/>
        <v>L8:L27</v>
      </c>
      <c r="M4" s="245">
        <f>Amortizações!L$50</f>
        <v>0</v>
      </c>
      <c r="N4" s="240">
        <v>3</v>
      </c>
      <c r="O4" s="240" t="s">
        <v>102</v>
      </c>
      <c r="P4" s="240">
        <v>8</v>
      </c>
      <c r="Q4" s="240">
        <v>20</v>
      </c>
      <c r="R4" s="240" t="str">
        <f t="shared" si="1"/>
        <v>L8</v>
      </c>
      <c r="S4" s="245">
        <f>Amortizações!L$45</f>
        <v>0</v>
      </c>
      <c r="T4">
        <v>3</v>
      </c>
      <c r="U4" s="238" t="s">
        <v>104</v>
      </c>
      <c r="V4">
        <f t="shared" si="4"/>
        <v>41</v>
      </c>
      <c r="W4">
        <f t="shared" si="2"/>
        <v>41</v>
      </c>
      <c r="X4" t="str">
        <f t="shared" si="3"/>
        <v>L41:AE41</v>
      </c>
      <c r="AA4" s="240" t="s">
        <v>213</v>
      </c>
      <c r="AB4" s="241">
        <v>0.93310000000000004</v>
      </c>
      <c r="AD4" s="240" t="s">
        <v>12</v>
      </c>
    </row>
    <row r="5" spans="2:30" x14ac:dyDescent="0.2">
      <c r="E5">
        <v>14</v>
      </c>
      <c r="F5" s="238" t="s">
        <v>114</v>
      </c>
      <c r="H5">
        <v>4</v>
      </c>
      <c r="I5" s="238" t="s">
        <v>103</v>
      </c>
      <c r="J5">
        <v>8</v>
      </c>
      <c r="K5">
        <v>27</v>
      </c>
      <c r="L5" t="str">
        <f t="shared" si="0"/>
        <v>M8:M27</v>
      </c>
      <c r="M5" s="245">
        <f>Amortizações!M$50</f>
        <v>0</v>
      </c>
      <c r="N5" s="240">
        <v>4</v>
      </c>
      <c r="O5" s="240" t="s">
        <v>103</v>
      </c>
      <c r="P5" s="240">
        <v>8</v>
      </c>
      <c r="Q5" s="240">
        <v>20</v>
      </c>
      <c r="R5" s="240" t="str">
        <f t="shared" si="1"/>
        <v>M8</v>
      </c>
      <c r="S5" s="245">
        <f>Amortizações!M$45</f>
        <v>0</v>
      </c>
      <c r="T5">
        <v>4</v>
      </c>
      <c r="U5" s="238" t="s">
        <v>105</v>
      </c>
      <c r="V5">
        <f t="shared" si="4"/>
        <v>42</v>
      </c>
      <c r="W5">
        <f t="shared" si="2"/>
        <v>42</v>
      </c>
      <c r="X5" t="str">
        <f t="shared" si="3"/>
        <v>L42:AE42</v>
      </c>
      <c r="AA5" s="240" t="s">
        <v>15</v>
      </c>
      <c r="AB5" s="241">
        <v>0.93310000000000004</v>
      </c>
      <c r="AD5" s="240" t="s">
        <v>214</v>
      </c>
    </row>
    <row r="6" spans="2:30" x14ac:dyDescent="0.2">
      <c r="B6" s="238" t="s">
        <v>36</v>
      </c>
      <c r="C6" s="238" t="s">
        <v>215</v>
      </c>
      <c r="E6">
        <v>15</v>
      </c>
      <c r="F6" s="238" t="s">
        <v>115</v>
      </c>
      <c r="H6">
        <v>5</v>
      </c>
      <c r="I6" s="238" t="s">
        <v>104</v>
      </c>
      <c r="J6">
        <v>8</v>
      </c>
      <c r="K6">
        <v>27</v>
      </c>
      <c r="L6" t="str">
        <f t="shared" si="0"/>
        <v>N8:N27</v>
      </c>
      <c r="M6" s="245">
        <f>Amortizações!N$50</f>
        <v>0</v>
      </c>
      <c r="N6" s="240">
        <v>5</v>
      </c>
      <c r="O6" s="240" t="s">
        <v>104</v>
      </c>
      <c r="P6" s="240">
        <v>8</v>
      </c>
      <c r="Q6" s="240">
        <v>20</v>
      </c>
      <c r="R6" s="240" t="str">
        <f t="shared" si="1"/>
        <v>N8</v>
      </c>
      <c r="S6" s="245">
        <f>Amortizações!N$45</f>
        <v>0</v>
      </c>
      <c r="T6">
        <v>5</v>
      </c>
      <c r="U6" s="238" t="s">
        <v>106</v>
      </c>
      <c r="V6">
        <f t="shared" si="4"/>
        <v>43</v>
      </c>
      <c r="W6">
        <f t="shared" si="2"/>
        <v>43</v>
      </c>
      <c r="X6" t="str">
        <f t="shared" si="3"/>
        <v>L43:AE43</v>
      </c>
      <c r="AA6" s="240" t="s">
        <v>216</v>
      </c>
      <c r="AB6" s="241">
        <v>0.93310000000000004</v>
      </c>
      <c r="AD6" s="240" t="s">
        <v>217</v>
      </c>
    </row>
    <row r="7" spans="2:30" x14ac:dyDescent="0.2">
      <c r="B7" s="238" t="s">
        <v>34</v>
      </c>
      <c r="C7" s="238" t="s">
        <v>218</v>
      </c>
      <c r="E7">
        <v>16</v>
      </c>
      <c r="F7" s="238" t="s">
        <v>116</v>
      </c>
      <c r="H7">
        <v>6</v>
      </c>
      <c r="I7" s="238" t="s">
        <v>105</v>
      </c>
      <c r="J7">
        <v>8</v>
      </c>
      <c r="K7">
        <v>27</v>
      </c>
      <c r="L7" t="str">
        <f t="shared" si="0"/>
        <v>O8:O27</v>
      </c>
      <c r="M7" s="245">
        <f>Amortizações!O$50</f>
        <v>0</v>
      </c>
      <c r="N7" s="240">
        <v>6</v>
      </c>
      <c r="O7" s="240" t="s">
        <v>105</v>
      </c>
      <c r="P7" s="240">
        <v>8</v>
      </c>
      <c r="Q7" s="240">
        <v>20</v>
      </c>
      <c r="R7" s="240" t="str">
        <f t="shared" si="1"/>
        <v>O8</v>
      </c>
      <c r="S7" s="245">
        <f>Amortizações!O$45</f>
        <v>0</v>
      </c>
      <c r="T7">
        <v>6</v>
      </c>
      <c r="U7" s="238" t="s">
        <v>107</v>
      </c>
      <c r="V7">
        <f t="shared" si="4"/>
        <v>44</v>
      </c>
      <c r="W7">
        <f t="shared" si="2"/>
        <v>44</v>
      </c>
      <c r="X7" t="str">
        <f t="shared" si="3"/>
        <v>L44:AE44</v>
      </c>
      <c r="AA7" s="240" t="s">
        <v>219</v>
      </c>
      <c r="AB7" s="241">
        <v>0.91710000000000003</v>
      </c>
      <c r="AD7" s="240" t="s">
        <v>220</v>
      </c>
    </row>
    <row r="8" spans="2:30" x14ac:dyDescent="0.2">
      <c r="B8" s="238" t="s">
        <v>211</v>
      </c>
      <c r="C8" s="238" t="s">
        <v>221</v>
      </c>
      <c r="E8">
        <v>17</v>
      </c>
      <c r="F8" s="238" t="s">
        <v>117</v>
      </c>
      <c r="H8">
        <v>7</v>
      </c>
      <c r="I8" s="238" t="s">
        <v>106</v>
      </c>
      <c r="J8">
        <v>8</v>
      </c>
      <c r="K8">
        <v>27</v>
      </c>
      <c r="L8" t="str">
        <f t="shared" si="0"/>
        <v>P8:P27</v>
      </c>
      <c r="M8" s="245">
        <f>Amortizações!P$50</f>
        <v>0</v>
      </c>
      <c r="N8" s="240">
        <v>7</v>
      </c>
      <c r="O8" s="240" t="s">
        <v>106</v>
      </c>
      <c r="P8" s="240">
        <v>8</v>
      </c>
      <c r="Q8" s="240">
        <v>20</v>
      </c>
      <c r="R8" s="240" t="str">
        <f t="shared" si="1"/>
        <v>P8</v>
      </c>
      <c r="S8" s="245">
        <f>Amortizações!P$45</f>
        <v>0</v>
      </c>
      <c r="T8">
        <v>7</v>
      </c>
      <c r="U8" s="238" t="s">
        <v>108</v>
      </c>
      <c r="V8">
        <f t="shared" si="4"/>
        <v>45</v>
      </c>
      <c r="W8">
        <f t="shared" si="2"/>
        <v>45</v>
      </c>
      <c r="X8" t="str">
        <f t="shared" si="3"/>
        <v>L45:AE45</v>
      </c>
      <c r="AA8" s="240" t="s">
        <v>222</v>
      </c>
      <c r="AB8" s="241">
        <v>0.90980000000000005</v>
      </c>
    </row>
    <row r="9" spans="2:30" x14ac:dyDescent="0.2">
      <c r="E9">
        <v>18</v>
      </c>
      <c r="F9" s="238" t="s">
        <v>118</v>
      </c>
      <c r="H9">
        <v>8</v>
      </c>
      <c r="I9" s="238" t="s">
        <v>107</v>
      </c>
      <c r="J9">
        <v>8</v>
      </c>
      <c r="K9">
        <v>27</v>
      </c>
      <c r="L9" t="str">
        <f t="shared" si="0"/>
        <v>Q8:Q27</v>
      </c>
      <c r="M9" s="245">
        <f>Amortizações!Q$50</f>
        <v>0</v>
      </c>
      <c r="N9" s="240">
        <v>8</v>
      </c>
      <c r="O9" s="240" t="s">
        <v>107</v>
      </c>
      <c r="P9" s="240">
        <v>8</v>
      </c>
      <c r="Q9" s="240">
        <v>20</v>
      </c>
      <c r="R9" s="240" t="str">
        <f t="shared" si="1"/>
        <v>Q8</v>
      </c>
      <c r="S9" s="245">
        <f>Amortizações!Q$45</f>
        <v>0</v>
      </c>
      <c r="T9">
        <v>8</v>
      </c>
      <c r="U9" s="238" t="s">
        <v>109</v>
      </c>
      <c r="V9">
        <f t="shared" si="4"/>
        <v>46</v>
      </c>
      <c r="W9">
        <f t="shared" si="2"/>
        <v>46</v>
      </c>
      <c r="X9" t="str">
        <f t="shared" si="3"/>
        <v>L46:AE46</v>
      </c>
      <c r="AA9" s="240" t="s">
        <v>223</v>
      </c>
      <c r="AB9" s="241">
        <v>0.90259999999999996</v>
      </c>
    </row>
    <row r="10" spans="2:30" x14ac:dyDescent="0.2">
      <c r="E10">
        <v>19</v>
      </c>
      <c r="F10" s="238" t="s">
        <v>224</v>
      </c>
      <c r="H10">
        <v>9</v>
      </c>
      <c r="I10" s="238" t="s">
        <v>108</v>
      </c>
      <c r="J10">
        <v>8</v>
      </c>
      <c r="K10">
        <v>27</v>
      </c>
      <c r="L10" t="str">
        <f t="shared" si="0"/>
        <v>R8:R27</v>
      </c>
      <c r="M10" s="245">
        <f>Amortizações!R$50</f>
        <v>0</v>
      </c>
      <c r="N10" s="240">
        <v>9</v>
      </c>
      <c r="O10" s="240" t="s">
        <v>108</v>
      </c>
      <c r="P10" s="240">
        <v>8</v>
      </c>
      <c r="Q10" s="240">
        <v>20</v>
      </c>
      <c r="R10" s="240" t="str">
        <f t="shared" si="1"/>
        <v>R8</v>
      </c>
      <c r="S10" s="245">
        <f>Amortizações!R$45</f>
        <v>0</v>
      </c>
      <c r="T10">
        <v>9</v>
      </c>
      <c r="U10" s="238" t="s">
        <v>90</v>
      </c>
      <c r="V10">
        <f t="shared" si="4"/>
        <v>47</v>
      </c>
      <c r="W10">
        <f t="shared" si="2"/>
        <v>47</v>
      </c>
      <c r="X10" t="str">
        <f t="shared" si="3"/>
        <v>L47:AE47</v>
      </c>
      <c r="AA10" s="240" t="s">
        <v>225</v>
      </c>
      <c r="AB10" s="241">
        <v>0.8831</v>
      </c>
    </row>
    <row r="11" spans="2:30" x14ac:dyDescent="0.2">
      <c r="E11">
        <v>20</v>
      </c>
      <c r="F11" s="238" t="s">
        <v>226</v>
      </c>
      <c r="H11">
        <v>10</v>
      </c>
      <c r="I11" s="238" t="s">
        <v>109</v>
      </c>
      <c r="J11">
        <v>8</v>
      </c>
      <c r="K11">
        <v>27</v>
      </c>
      <c r="L11" t="str">
        <f t="shared" si="0"/>
        <v>S8:S27</v>
      </c>
      <c r="M11" s="245">
        <f>Amortizações!S$50</f>
        <v>0</v>
      </c>
      <c r="N11" s="240">
        <v>10</v>
      </c>
      <c r="O11" s="240" t="s">
        <v>109</v>
      </c>
      <c r="P11" s="240">
        <v>8</v>
      </c>
      <c r="Q11" s="240">
        <v>20</v>
      </c>
      <c r="R11" s="240" t="str">
        <f t="shared" si="1"/>
        <v>S8</v>
      </c>
      <c r="S11" s="245">
        <f>Amortizações!S$45</f>
        <v>0</v>
      </c>
      <c r="T11">
        <v>10</v>
      </c>
      <c r="U11" s="238" t="s">
        <v>110</v>
      </c>
      <c r="V11">
        <f t="shared" si="4"/>
        <v>48</v>
      </c>
      <c r="W11">
        <f t="shared" si="2"/>
        <v>48</v>
      </c>
      <c r="X11" t="str">
        <f t="shared" si="3"/>
        <v>L48:AE48</v>
      </c>
    </row>
    <row r="12" spans="2:30" ht="15.75" customHeight="1" x14ac:dyDescent="0.25">
      <c r="H12">
        <v>11</v>
      </c>
      <c r="I12" s="238" t="s">
        <v>90</v>
      </c>
      <c r="J12">
        <v>8</v>
      </c>
      <c r="K12">
        <v>27</v>
      </c>
      <c r="L12" t="str">
        <f t="shared" si="0"/>
        <v>T8:T27</v>
      </c>
      <c r="M12" s="245">
        <f>Amortizações!T$50</f>
        <v>0</v>
      </c>
      <c r="N12" s="240">
        <v>11</v>
      </c>
      <c r="O12" s="240" t="s">
        <v>90</v>
      </c>
      <c r="P12" s="240">
        <v>8</v>
      </c>
      <c r="Q12" s="240">
        <v>20</v>
      </c>
      <c r="R12" s="240" t="str">
        <f t="shared" si="1"/>
        <v>T8</v>
      </c>
      <c r="S12" s="245">
        <f>Amortizações!T$45</f>
        <v>0</v>
      </c>
      <c r="T12">
        <v>11</v>
      </c>
      <c r="U12" s="238" t="s">
        <v>111</v>
      </c>
      <c r="V12">
        <f t="shared" si="4"/>
        <v>49</v>
      </c>
      <c r="W12">
        <f t="shared" si="2"/>
        <v>49</v>
      </c>
      <c r="X12" t="str">
        <f t="shared" si="3"/>
        <v>L49:AE49</v>
      </c>
      <c r="AA12" s="239" t="s">
        <v>210</v>
      </c>
      <c r="AB12" s="239" t="s">
        <v>208</v>
      </c>
      <c r="AC12" s="239" t="str">
        <f t="shared" ref="AC12:AC40" si="5">AA12&amp;"/"&amp;AB12</f>
        <v>Setor/Porte</v>
      </c>
      <c r="AD12" s="239" t="s">
        <v>227</v>
      </c>
    </row>
    <row r="13" spans="2:30" x14ac:dyDescent="0.2">
      <c r="H13">
        <v>12</v>
      </c>
      <c r="I13" s="238" t="s">
        <v>110</v>
      </c>
      <c r="J13">
        <v>8</v>
      </c>
      <c r="K13">
        <v>27</v>
      </c>
      <c r="L13" t="str">
        <f t="shared" si="0"/>
        <v>U8:U27</v>
      </c>
      <c r="M13" s="245">
        <f>Amortizações!U$50</f>
        <v>0</v>
      </c>
      <c r="N13" s="240">
        <v>12</v>
      </c>
      <c r="O13" s="240" t="s">
        <v>110</v>
      </c>
      <c r="P13" s="240">
        <v>8</v>
      </c>
      <c r="Q13" s="240">
        <v>20</v>
      </c>
      <c r="R13" s="240" t="str">
        <f t="shared" si="1"/>
        <v>U8</v>
      </c>
      <c r="S13" s="245">
        <f>Amortizações!U$45</f>
        <v>0</v>
      </c>
      <c r="T13">
        <v>12</v>
      </c>
      <c r="U13" s="238" t="s">
        <v>112</v>
      </c>
      <c r="V13">
        <f t="shared" si="4"/>
        <v>50</v>
      </c>
      <c r="W13">
        <f t="shared" si="2"/>
        <v>50</v>
      </c>
      <c r="X13" t="str">
        <f t="shared" si="3"/>
        <v>L50:AE50</v>
      </c>
      <c r="AA13" s="240" t="s">
        <v>12</v>
      </c>
      <c r="AB13" s="240" t="s">
        <v>213</v>
      </c>
      <c r="AC13" s="240" t="str">
        <f t="shared" si="5"/>
        <v>Rural/MEI</v>
      </c>
      <c r="AD13" s="246">
        <v>0.159634</v>
      </c>
    </row>
    <row r="14" spans="2:30" x14ac:dyDescent="0.2">
      <c r="H14">
        <v>13</v>
      </c>
      <c r="I14" s="238" t="s">
        <v>111</v>
      </c>
      <c r="J14">
        <v>8</v>
      </c>
      <c r="K14">
        <v>27</v>
      </c>
      <c r="L14" t="str">
        <f t="shared" si="0"/>
        <v>V8:V27</v>
      </c>
      <c r="M14" s="245">
        <f>Amortizações!V$50</f>
        <v>0</v>
      </c>
      <c r="N14" s="240">
        <v>13</v>
      </c>
      <c r="O14" s="240" t="s">
        <v>111</v>
      </c>
      <c r="P14" s="240">
        <v>8</v>
      </c>
      <c r="Q14" s="240">
        <v>20</v>
      </c>
      <c r="R14" s="240" t="str">
        <f t="shared" si="1"/>
        <v>V8</v>
      </c>
      <c r="S14" s="245">
        <f>Amortizações!V$45</f>
        <v>0</v>
      </c>
      <c r="T14">
        <v>13</v>
      </c>
      <c r="U14" s="238" t="s">
        <v>113</v>
      </c>
      <c r="V14">
        <f t="shared" si="4"/>
        <v>51</v>
      </c>
      <c r="W14">
        <f t="shared" si="2"/>
        <v>51</v>
      </c>
      <c r="X14" t="str">
        <f t="shared" si="3"/>
        <v>L51:AE51</v>
      </c>
      <c r="AA14" s="240" t="s">
        <v>12</v>
      </c>
      <c r="AB14" s="240" t="s">
        <v>15</v>
      </c>
      <c r="AC14" s="240" t="str">
        <f t="shared" si="5"/>
        <v>Rural/Mini</v>
      </c>
      <c r="AD14" s="246">
        <v>0.159634</v>
      </c>
    </row>
    <row r="15" spans="2:30" x14ac:dyDescent="0.2">
      <c r="H15">
        <v>14</v>
      </c>
      <c r="I15" s="238" t="s">
        <v>112</v>
      </c>
      <c r="J15">
        <v>8</v>
      </c>
      <c r="K15">
        <v>27</v>
      </c>
      <c r="L15" t="str">
        <f t="shared" si="0"/>
        <v>W8:W27</v>
      </c>
      <c r="M15" s="245">
        <f>Amortizações!W$50</f>
        <v>0</v>
      </c>
      <c r="N15" s="240">
        <v>14</v>
      </c>
      <c r="O15" s="240" t="s">
        <v>112</v>
      </c>
      <c r="P15" s="240">
        <v>8</v>
      </c>
      <c r="Q15" s="240">
        <v>20</v>
      </c>
      <c r="R15" s="240" t="str">
        <f t="shared" si="1"/>
        <v>W8</v>
      </c>
      <c r="S15" s="245">
        <f>Amortizações!W$45</f>
        <v>0</v>
      </c>
      <c r="T15">
        <v>14</v>
      </c>
      <c r="U15" s="238" t="s">
        <v>114</v>
      </c>
      <c r="V15">
        <f t="shared" si="4"/>
        <v>52</v>
      </c>
      <c r="W15">
        <f t="shared" si="2"/>
        <v>52</v>
      </c>
      <c r="X15" t="str">
        <f t="shared" si="3"/>
        <v>L52:AE52</v>
      </c>
      <c r="AA15" s="240" t="s">
        <v>12</v>
      </c>
      <c r="AB15" s="240" t="s">
        <v>216</v>
      </c>
      <c r="AC15" s="240" t="str">
        <f t="shared" si="5"/>
        <v>Rural/Micro</v>
      </c>
      <c r="AD15" s="246">
        <v>0.159634</v>
      </c>
    </row>
    <row r="16" spans="2:30" x14ac:dyDescent="0.2">
      <c r="H16">
        <v>15</v>
      </c>
      <c r="I16" s="238" t="s">
        <v>113</v>
      </c>
      <c r="J16">
        <v>8</v>
      </c>
      <c r="K16">
        <v>27</v>
      </c>
      <c r="L16" t="str">
        <f t="shared" si="0"/>
        <v>X8:X27</v>
      </c>
      <c r="M16" s="245">
        <f>Amortizações!X$50</f>
        <v>0</v>
      </c>
      <c r="N16" s="240">
        <v>15</v>
      </c>
      <c r="O16" s="240" t="s">
        <v>113</v>
      </c>
      <c r="P16" s="240">
        <v>8</v>
      </c>
      <c r="Q16" s="240">
        <v>20</v>
      </c>
      <c r="R16" s="240" t="str">
        <f t="shared" si="1"/>
        <v>X8</v>
      </c>
      <c r="S16" s="245">
        <f>Amortizações!X$45</f>
        <v>0</v>
      </c>
      <c r="T16">
        <v>15</v>
      </c>
      <c r="U16" s="238" t="s">
        <v>115</v>
      </c>
      <c r="V16">
        <f t="shared" si="4"/>
        <v>53</v>
      </c>
      <c r="W16">
        <f t="shared" si="2"/>
        <v>53</v>
      </c>
      <c r="X16" t="str">
        <f t="shared" si="3"/>
        <v>L53:AE53</v>
      </c>
      <c r="AA16" s="240" t="s">
        <v>12</v>
      </c>
      <c r="AB16" s="240" t="s">
        <v>219</v>
      </c>
      <c r="AC16" s="240" t="str">
        <f t="shared" si="5"/>
        <v>Rural/Pequeno</v>
      </c>
      <c r="AD16" s="246">
        <v>0.159634</v>
      </c>
    </row>
    <row r="17" spans="8:30" x14ac:dyDescent="0.2">
      <c r="H17">
        <v>16</v>
      </c>
      <c r="I17" s="238" t="s">
        <v>114</v>
      </c>
      <c r="J17">
        <v>8</v>
      </c>
      <c r="K17">
        <v>27</v>
      </c>
      <c r="L17" t="str">
        <f t="shared" si="0"/>
        <v>Y8:Y27</v>
      </c>
      <c r="M17" s="245">
        <f>Amortizações!Y$50</f>
        <v>0</v>
      </c>
      <c r="N17" s="240">
        <v>16</v>
      </c>
      <c r="O17" s="240" t="s">
        <v>114</v>
      </c>
      <c r="P17" s="240">
        <v>8</v>
      </c>
      <c r="Q17" s="240">
        <v>20</v>
      </c>
      <c r="R17" s="240" t="str">
        <f t="shared" si="1"/>
        <v>Y8</v>
      </c>
      <c r="S17" s="245">
        <f>Amortizações!Y$45</f>
        <v>0</v>
      </c>
      <c r="T17">
        <v>16</v>
      </c>
      <c r="U17" s="238" t="s">
        <v>116</v>
      </c>
      <c r="V17">
        <f t="shared" si="4"/>
        <v>54</v>
      </c>
      <c r="W17">
        <f t="shared" si="2"/>
        <v>54</v>
      </c>
      <c r="X17" t="str">
        <f t="shared" si="3"/>
        <v>L54:AE54</v>
      </c>
      <c r="AA17" s="240" t="s">
        <v>12</v>
      </c>
      <c r="AB17" s="240" t="s">
        <v>222</v>
      </c>
      <c r="AC17" s="240" t="str">
        <f t="shared" si="5"/>
        <v>Rural/Pequeno-Médio</v>
      </c>
      <c r="AD17" s="246">
        <v>0.145344</v>
      </c>
    </row>
    <row r="18" spans="8:30" x14ac:dyDescent="0.2">
      <c r="H18">
        <v>17</v>
      </c>
      <c r="I18" s="238" t="s">
        <v>115</v>
      </c>
      <c r="J18">
        <v>8</v>
      </c>
      <c r="K18">
        <v>27</v>
      </c>
      <c r="L18" t="str">
        <f t="shared" si="0"/>
        <v>Z8:Z27</v>
      </c>
      <c r="M18" s="245">
        <f>Amortizações!Z$50</f>
        <v>0</v>
      </c>
      <c r="N18" s="240">
        <v>17</v>
      </c>
      <c r="O18" s="240" t="s">
        <v>115</v>
      </c>
      <c r="P18" s="240">
        <v>8</v>
      </c>
      <c r="Q18" s="240">
        <v>20</v>
      </c>
      <c r="R18" s="240" t="str">
        <f t="shared" si="1"/>
        <v>Z8</v>
      </c>
      <c r="S18" s="245">
        <f>Amortizações!Z$45</f>
        <v>0</v>
      </c>
      <c r="T18">
        <v>17</v>
      </c>
      <c r="U18" s="238" t="s">
        <v>117</v>
      </c>
      <c r="V18">
        <f t="shared" si="4"/>
        <v>55</v>
      </c>
      <c r="W18">
        <f t="shared" si="2"/>
        <v>55</v>
      </c>
      <c r="X18" t="str">
        <f t="shared" si="3"/>
        <v>L55:AE55</v>
      </c>
      <c r="AA18" s="240" t="s">
        <v>12</v>
      </c>
      <c r="AB18" s="240" t="s">
        <v>223</v>
      </c>
      <c r="AC18" s="240" t="str">
        <f t="shared" si="5"/>
        <v>Rural/Médio</v>
      </c>
      <c r="AD18" s="246">
        <v>0.131053</v>
      </c>
    </row>
    <row r="19" spans="8:30" x14ac:dyDescent="0.2">
      <c r="H19">
        <v>18</v>
      </c>
      <c r="I19" s="238" t="s">
        <v>116</v>
      </c>
      <c r="J19">
        <v>8</v>
      </c>
      <c r="K19">
        <v>27</v>
      </c>
      <c r="L19" t="str">
        <f t="shared" si="0"/>
        <v>AA8:AA27</v>
      </c>
      <c r="M19" s="245">
        <f>Amortizações!AA$50</f>
        <v>0</v>
      </c>
      <c r="N19" s="240">
        <v>18</v>
      </c>
      <c r="O19" s="240" t="s">
        <v>116</v>
      </c>
      <c r="P19" s="240">
        <v>8</v>
      </c>
      <c r="Q19" s="240">
        <v>20</v>
      </c>
      <c r="R19" s="240" t="str">
        <f t="shared" si="1"/>
        <v>AA8</v>
      </c>
      <c r="S19" s="245">
        <f>Amortizações!AA$45</f>
        <v>0</v>
      </c>
      <c r="T19">
        <v>18</v>
      </c>
      <c r="U19" s="238" t="s">
        <v>118</v>
      </c>
      <c r="V19">
        <f t="shared" si="4"/>
        <v>56</v>
      </c>
      <c r="W19">
        <f t="shared" si="2"/>
        <v>56</v>
      </c>
      <c r="X19" t="str">
        <f t="shared" si="3"/>
        <v>L56:AE56</v>
      </c>
      <c r="AA19" s="240" t="s">
        <v>12</v>
      </c>
      <c r="AB19" s="240" t="s">
        <v>225</v>
      </c>
      <c r="AC19" s="240" t="str">
        <f t="shared" si="5"/>
        <v>Rural/Grande</v>
      </c>
      <c r="AD19" s="246">
        <v>0.125167</v>
      </c>
    </row>
    <row r="20" spans="8:30" x14ac:dyDescent="0.2">
      <c r="H20">
        <v>19</v>
      </c>
      <c r="I20" s="238" t="s">
        <v>117</v>
      </c>
      <c r="J20">
        <v>8</v>
      </c>
      <c r="K20">
        <v>27</v>
      </c>
      <c r="L20" t="str">
        <f t="shared" si="0"/>
        <v>AB8:AB27</v>
      </c>
      <c r="M20" s="245">
        <f>Amortizações!AB$50</f>
        <v>0</v>
      </c>
      <c r="N20" s="240">
        <v>19</v>
      </c>
      <c r="O20" s="240" t="s">
        <v>117</v>
      </c>
      <c r="P20" s="240">
        <v>8</v>
      </c>
      <c r="Q20" s="240">
        <v>20</v>
      </c>
      <c r="R20" s="240" t="str">
        <f t="shared" si="1"/>
        <v>AB8</v>
      </c>
      <c r="S20" s="245">
        <f>Amortizações!AB$45</f>
        <v>0</v>
      </c>
      <c r="T20">
        <v>19</v>
      </c>
      <c r="U20" s="238" t="s">
        <v>224</v>
      </c>
      <c r="V20">
        <f t="shared" si="4"/>
        <v>57</v>
      </c>
      <c r="W20">
        <f t="shared" si="2"/>
        <v>57</v>
      </c>
      <c r="X20" t="str">
        <f t="shared" si="3"/>
        <v>L57:AE57</v>
      </c>
      <c r="AA20" s="240" t="s">
        <v>214</v>
      </c>
      <c r="AB20" s="240" t="s">
        <v>213</v>
      </c>
      <c r="AC20" s="240" t="str">
        <f t="shared" si="5"/>
        <v>Industrial/MEI</v>
      </c>
      <c r="AD20" s="246">
        <v>0.141625</v>
      </c>
    </row>
    <row r="21" spans="8:30" x14ac:dyDescent="0.2">
      <c r="H21">
        <v>20</v>
      </c>
      <c r="I21" s="238" t="s">
        <v>118</v>
      </c>
      <c r="J21">
        <v>8</v>
      </c>
      <c r="K21">
        <v>27</v>
      </c>
      <c r="L21" t="str">
        <f t="shared" si="0"/>
        <v>AC8:AC27</v>
      </c>
      <c r="M21" s="245">
        <f>Amortizações!AC$50</f>
        <v>0</v>
      </c>
      <c r="N21" s="240">
        <v>20</v>
      </c>
      <c r="O21" s="240" t="s">
        <v>118</v>
      </c>
      <c r="P21" s="240">
        <v>8</v>
      </c>
      <c r="Q21" s="240">
        <v>20</v>
      </c>
      <c r="R21" s="240" t="str">
        <f t="shared" si="1"/>
        <v>AC8</v>
      </c>
      <c r="S21" s="245">
        <f>Amortizações!AC$45</f>
        <v>0</v>
      </c>
      <c r="T21">
        <v>20</v>
      </c>
      <c r="U21" s="238" t="s">
        <v>226</v>
      </c>
      <c r="V21">
        <f t="shared" si="4"/>
        <v>58</v>
      </c>
      <c r="W21">
        <f t="shared" si="2"/>
        <v>58</v>
      </c>
      <c r="X21" t="str">
        <f t="shared" si="3"/>
        <v>L58:AE58</v>
      </c>
      <c r="AA21" s="240" t="s">
        <v>214</v>
      </c>
      <c r="AB21" s="240" t="s">
        <v>15</v>
      </c>
      <c r="AC21" s="240" t="str">
        <f t="shared" si="5"/>
        <v>Industrial/Mini</v>
      </c>
      <c r="AD21" s="246">
        <v>0.141625</v>
      </c>
    </row>
    <row r="22" spans="8:30" x14ac:dyDescent="0.2">
      <c r="AA22" s="240" t="s">
        <v>214</v>
      </c>
      <c r="AB22" s="240" t="s">
        <v>216</v>
      </c>
      <c r="AC22" s="240" t="str">
        <f t="shared" si="5"/>
        <v>Industrial/Micro</v>
      </c>
      <c r="AD22" s="246">
        <v>0.141625</v>
      </c>
    </row>
    <row r="23" spans="8:30" x14ac:dyDescent="0.2">
      <c r="AA23" s="240" t="s">
        <v>214</v>
      </c>
      <c r="AB23" s="240" t="s">
        <v>219</v>
      </c>
      <c r="AC23" s="240" t="str">
        <f t="shared" si="5"/>
        <v>Industrial/Pequeno</v>
      </c>
      <c r="AD23" s="246">
        <v>0.163461</v>
      </c>
    </row>
    <row r="24" spans="8:30" x14ac:dyDescent="0.2">
      <c r="AA24" s="240" t="s">
        <v>214</v>
      </c>
      <c r="AB24" s="240" t="s">
        <v>222</v>
      </c>
      <c r="AC24" s="240" t="str">
        <f t="shared" si="5"/>
        <v>Industrial/Pequeno-Médio</v>
      </c>
      <c r="AD24" s="246">
        <v>0.133072</v>
      </c>
    </row>
    <row r="25" spans="8:30" x14ac:dyDescent="0.2">
      <c r="AA25" s="240" t="s">
        <v>214</v>
      </c>
      <c r="AB25" s="240" t="s">
        <v>223</v>
      </c>
      <c r="AC25" s="240" t="str">
        <f t="shared" si="5"/>
        <v>Industrial/Médio</v>
      </c>
      <c r="AD25" s="246">
        <v>0.102683</v>
      </c>
    </row>
    <row r="26" spans="8:30" x14ac:dyDescent="0.2">
      <c r="AA26" s="240" t="s">
        <v>214</v>
      </c>
      <c r="AB26" s="240" t="s">
        <v>225</v>
      </c>
      <c r="AC26" s="240" t="str">
        <f t="shared" si="5"/>
        <v>Industrial/Grande</v>
      </c>
      <c r="AD26" s="246">
        <v>7.6559000000000002E-2</v>
      </c>
    </row>
    <row r="27" spans="8:30" x14ac:dyDescent="0.2">
      <c r="AA27" s="240" t="s">
        <v>217</v>
      </c>
      <c r="AB27" s="240" t="s">
        <v>213</v>
      </c>
      <c r="AC27" s="240" t="str">
        <f t="shared" si="5"/>
        <v>Comércio/MEI</v>
      </c>
      <c r="AD27" s="246">
        <v>0.14406099999999999</v>
      </c>
    </row>
    <row r="28" spans="8:30" x14ac:dyDescent="0.2">
      <c r="AA28" s="240" t="s">
        <v>217</v>
      </c>
      <c r="AB28" s="240" t="s">
        <v>15</v>
      </c>
      <c r="AC28" s="240" t="str">
        <f t="shared" si="5"/>
        <v>Comércio/Mini</v>
      </c>
      <c r="AD28" s="246">
        <v>0.14406099999999999</v>
      </c>
    </row>
    <row r="29" spans="8:30" x14ac:dyDescent="0.2">
      <c r="AA29" s="240" t="s">
        <v>217</v>
      </c>
      <c r="AB29" s="240" t="s">
        <v>216</v>
      </c>
      <c r="AC29" s="240" t="str">
        <f t="shared" si="5"/>
        <v>Comércio/Micro</v>
      </c>
      <c r="AD29" s="246">
        <v>0.14406099999999999</v>
      </c>
    </row>
    <row r="30" spans="8:30" x14ac:dyDescent="0.2">
      <c r="AA30" s="240" t="s">
        <v>217</v>
      </c>
      <c r="AB30" s="240" t="s">
        <v>219</v>
      </c>
      <c r="AC30" s="240" t="str">
        <f t="shared" si="5"/>
        <v>Comércio/Pequeno</v>
      </c>
      <c r="AD30" s="246">
        <v>0.101146</v>
      </c>
    </row>
    <row r="31" spans="8:30" x14ac:dyDescent="0.2">
      <c r="AA31" s="240" t="s">
        <v>217</v>
      </c>
      <c r="AB31" s="240" t="s">
        <v>222</v>
      </c>
      <c r="AC31" s="240" t="str">
        <f t="shared" si="5"/>
        <v>Comércio/Pequeno-Médio</v>
      </c>
      <c r="AD31" s="246">
        <v>7.7329999999999996E-2</v>
      </c>
    </row>
    <row r="32" spans="8:30" x14ac:dyDescent="0.2">
      <c r="AA32" s="240" t="s">
        <v>217</v>
      </c>
      <c r="AB32" s="240" t="s">
        <v>223</v>
      </c>
      <c r="AC32" s="240" t="str">
        <f t="shared" si="5"/>
        <v>Comércio/Médio</v>
      </c>
      <c r="AD32" s="246">
        <v>5.3513999999999999E-2</v>
      </c>
    </row>
    <row r="33" spans="27:30" x14ac:dyDescent="0.2">
      <c r="AA33" s="240" t="s">
        <v>217</v>
      </c>
      <c r="AB33" s="240" t="s">
        <v>225</v>
      </c>
      <c r="AC33" s="240" t="str">
        <f t="shared" si="5"/>
        <v>Comércio/Grande</v>
      </c>
      <c r="AD33" s="246">
        <v>2.4271999999999998E-2</v>
      </c>
    </row>
    <row r="34" spans="27:30" x14ac:dyDescent="0.2">
      <c r="AA34" s="240" t="s">
        <v>220</v>
      </c>
      <c r="AB34" s="240" t="s">
        <v>213</v>
      </c>
      <c r="AC34" s="240" t="str">
        <f t="shared" si="5"/>
        <v>Serviços/MEI</v>
      </c>
      <c r="AD34" s="246">
        <v>0.34336499999999998</v>
      </c>
    </row>
    <row r="35" spans="27:30" x14ac:dyDescent="0.2">
      <c r="AA35" s="240" t="s">
        <v>220</v>
      </c>
      <c r="AB35" s="240" t="s">
        <v>15</v>
      </c>
      <c r="AC35" s="240" t="str">
        <f t="shared" si="5"/>
        <v>Serviços/Mini</v>
      </c>
      <c r="AD35" s="246">
        <v>0.34336499999999998</v>
      </c>
    </row>
    <row r="36" spans="27:30" x14ac:dyDescent="0.2">
      <c r="AA36" s="240" t="s">
        <v>220</v>
      </c>
      <c r="AB36" s="240" t="s">
        <v>216</v>
      </c>
      <c r="AC36" s="240" t="str">
        <f t="shared" si="5"/>
        <v>Serviços/Micro</v>
      </c>
      <c r="AD36" s="246">
        <v>0.34336499999999998</v>
      </c>
    </row>
    <row r="37" spans="27:30" x14ac:dyDescent="0.2">
      <c r="AA37" s="240" t="s">
        <v>220</v>
      </c>
      <c r="AB37" s="240" t="s">
        <v>219</v>
      </c>
      <c r="AC37" s="240" t="str">
        <f t="shared" si="5"/>
        <v>Serviços/Pequeno</v>
      </c>
      <c r="AD37" s="246">
        <v>0.26106299999999999</v>
      </c>
    </row>
    <row r="38" spans="27:30" x14ac:dyDescent="0.2">
      <c r="AA38" s="240" t="s">
        <v>220</v>
      </c>
      <c r="AB38" s="240" t="s">
        <v>222</v>
      </c>
      <c r="AC38" s="240" t="str">
        <f t="shared" si="5"/>
        <v>Serviços/Pequeno-Médio</v>
      </c>
      <c r="AD38" s="246">
        <v>0.20907500000000001</v>
      </c>
    </row>
    <row r="39" spans="27:30" x14ac:dyDescent="0.2">
      <c r="AA39" s="240" t="s">
        <v>220</v>
      </c>
      <c r="AB39" s="240" t="s">
        <v>223</v>
      </c>
      <c r="AC39" s="240" t="str">
        <f t="shared" si="5"/>
        <v>Serviços/Médio</v>
      </c>
      <c r="AD39" s="246">
        <v>0.157086</v>
      </c>
    </row>
    <row r="40" spans="27:30" x14ac:dyDescent="0.2">
      <c r="AA40" s="240" t="s">
        <v>220</v>
      </c>
      <c r="AB40" s="240" t="s">
        <v>225</v>
      </c>
      <c r="AC40" s="240" t="str">
        <f t="shared" si="5"/>
        <v>Serviços/Grande</v>
      </c>
      <c r="AD40" s="246">
        <v>8.8192000000000006E-2</v>
      </c>
    </row>
    <row r="42" spans="27:30" ht="97.5" customHeight="1" x14ac:dyDescent="0.2">
      <c r="AA42" s="365" t="s">
        <v>228</v>
      </c>
      <c r="AB42" s="286"/>
      <c r="AC42" s="282"/>
    </row>
    <row r="44" spans="27:30" x14ac:dyDescent="0.2">
      <c r="AA44" t="s">
        <v>229</v>
      </c>
    </row>
    <row r="47" spans="27:30" x14ac:dyDescent="0.2">
      <c r="AA47" t="s">
        <v>230</v>
      </c>
      <c r="AB47" t="s">
        <v>231</v>
      </c>
    </row>
    <row r="49" spans="27:30" x14ac:dyDescent="0.2">
      <c r="AA49" s="240" t="s">
        <v>232</v>
      </c>
      <c r="AB49" s="240"/>
      <c r="AC49" s="247">
        <v>8.5400000000000004E-2</v>
      </c>
    </row>
    <row r="50" spans="27:30" x14ac:dyDescent="0.2">
      <c r="AA50" s="240" t="s">
        <v>233</v>
      </c>
      <c r="AB50" s="240"/>
      <c r="AC50" s="247">
        <v>5.5399999999999998E-2</v>
      </c>
    </row>
    <row r="51" spans="27:30" x14ac:dyDescent="0.2">
      <c r="AA51" s="240" t="s">
        <v>234</v>
      </c>
      <c r="AB51" s="240"/>
      <c r="AC51" s="247">
        <v>-5.7999999999999996E-3</v>
      </c>
    </row>
    <row r="53" spans="27:30" ht="15.75" customHeight="1" x14ac:dyDescent="0.25">
      <c r="AA53" s="239" t="s">
        <v>210</v>
      </c>
      <c r="AB53" s="239" t="s">
        <v>208</v>
      </c>
      <c r="AC53" s="239" t="str">
        <f t="shared" ref="AC53:AC81" si="6">AA53&amp;"/"&amp;AB53</f>
        <v>Setor/Porte</v>
      </c>
      <c r="AD53" s="239" t="s">
        <v>231</v>
      </c>
    </row>
    <row r="54" spans="27:30" x14ac:dyDescent="0.2">
      <c r="AA54" s="248" t="s">
        <v>12</v>
      </c>
      <c r="AB54" s="248" t="s">
        <v>213</v>
      </c>
      <c r="AC54" s="240" t="str">
        <f t="shared" si="6"/>
        <v>Rural/MEI</v>
      </c>
      <c r="AD54" s="249">
        <f t="shared" ref="AD54:AD57" si="7">IF($AC$51&lt;0,0,$AC$51)</f>
        <v>0</v>
      </c>
    </row>
    <row r="55" spans="27:30" x14ac:dyDescent="0.2">
      <c r="AA55" s="248" t="s">
        <v>12</v>
      </c>
      <c r="AB55" s="248" t="s">
        <v>15</v>
      </c>
      <c r="AC55" s="240" t="str">
        <f t="shared" si="6"/>
        <v>Rural/Mini</v>
      </c>
      <c r="AD55" s="249">
        <f t="shared" si="7"/>
        <v>0</v>
      </c>
    </row>
    <row r="56" spans="27:30" x14ac:dyDescent="0.2">
      <c r="AA56" s="248" t="s">
        <v>12</v>
      </c>
      <c r="AB56" s="248" t="s">
        <v>216</v>
      </c>
      <c r="AC56" s="240" t="str">
        <f t="shared" si="6"/>
        <v>Rural/Micro</v>
      </c>
      <c r="AD56" s="249">
        <f t="shared" si="7"/>
        <v>0</v>
      </c>
    </row>
    <row r="57" spans="27:30" x14ac:dyDescent="0.2">
      <c r="AA57" s="248" t="s">
        <v>12</v>
      </c>
      <c r="AB57" s="248" t="s">
        <v>219</v>
      </c>
      <c r="AC57" s="240" t="str">
        <f t="shared" si="6"/>
        <v>Rural/Pequeno</v>
      </c>
      <c r="AD57" s="249">
        <f t="shared" si="7"/>
        <v>0</v>
      </c>
    </row>
    <row r="58" spans="27:30" x14ac:dyDescent="0.2">
      <c r="AA58" s="240" t="s">
        <v>12</v>
      </c>
      <c r="AB58" s="240" t="s">
        <v>222</v>
      </c>
      <c r="AC58" s="240" t="str">
        <f t="shared" si="6"/>
        <v>Rural/Pequeno-Médio</v>
      </c>
      <c r="AD58" s="246">
        <f t="shared" ref="AD58:AD60" si="8">IF($AC$50&lt;0,0,$AC$50)</f>
        <v>5.5399999999999998E-2</v>
      </c>
    </row>
    <row r="59" spans="27:30" x14ac:dyDescent="0.2">
      <c r="AA59" s="240" t="s">
        <v>12</v>
      </c>
      <c r="AB59" s="240" t="s">
        <v>223</v>
      </c>
      <c r="AC59" s="240" t="str">
        <f t="shared" si="6"/>
        <v>Rural/Médio</v>
      </c>
      <c r="AD59" s="246">
        <f t="shared" si="8"/>
        <v>5.5399999999999998E-2</v>
      </c>
    </row>
    <row r="60" spans="27:30" x14ac:dyDescent="0.2">
      <c r="AA60" s="240" t="s">
        <v>12</v>
      </c>
      <c r="AB60" s="240" t="s">
        <v>225</v>
      </c>
      <c r="AC60" s="240" t="str">
        <f t="shared" si="6"/>
        <v>Rural/Grande</v>
      </c>
      <c r="AD60" s="246">
        <f t="shared" si="8"/>
        <v>5.5399999999999998E-2</v>
      </c>
    </row>
    <row r="61" spans="27:30" x14ac:dyDescent="0.2">
      <c r="AA61" s="248" t="s">
        <v>214</v>
      </c>
      <c r="AB61" s="248" t="s">
        <v>213</v>
      </c>
      <c r="AC61" s="240" t="str">
        <f t="shared" si="6"/>
        <v>Industrial/MEI</v>
      </c>
      <c r="AD61" s="249">
        <f t="shared" ref="AD61:AD81" si="9">IF($AC$49&lt;0,0,$AC$49)</f>
        <v>8.5400000000000004E-2</v>
      </c>
    </row>
    <row r="62" spans="27:30" x14ac:dyDescent="0.2">
      <c r="AA62" s="248" t="s">
        <v>214</v>
      </c>
      <c r="AB62" s="248" t="s">
        <v>15</v>
      </c>
      <c r="AC62" s="240" t="str">
        <f t="shared" si="6"/>
        <v>Industrial/Mini</v>
      </c>
      <c r="AD62" s="249">
        <f t="shared" si="9"/>
        <v>8.5400000000000004E-2</v>
      </c>
    </row>
    <row r="63" spans="27:30" x14ac:dyDescent="0.2">
      <c r="AA63" s="248" t="s">
        <v>214</v>
      </c>
      <c r="AB63" s="248" t="s">
        <v>216</v>
      </c>
      <c r="AC63" s="240" t="str">
        <f t="shared" si="6"/>
        <v>Industrial/Micro</v>
      </c>
      <c r="AD63" s="249">
        <f t="shared" si="9"/>
        <v>8.5400000000000004E-2</v>
      </c>
    </row>
    <row r="64" spans="27:30" x14ac:dyDescent="0.2">
      <c r="AA64" s="248" t="s">
        <v>214</v>
      </c>
      <c r="AB64" s="248" t="s">
        <v>219</v>
      </c>
      <c r="AC64" s="240" t="str">
        <f t="shared" si="6"/>
        <v>Industrial/Pequeno</v>
      </c>
      <c r="AD64" s="249">
        <f t="shared" si="9"/>
        <v>8.5400000000000004E-2</v>
      </c>
    </row>
    <row r="65" spans="27:30" x14ac:dyDescent="0.2">
      <c r="AA65" s="248" t="s">
        <v>214</v>
      </c>
      <c r="AB65" s="248" t="s">
        <v>222</v>
      </c>
      <c r="AC65" s="240" t="str">
        <f t="shared" si="6"/>
        <v>Industrial/Pequeno-Médio</v>
      </c>
      <c r="AD65" s="249">
        <f t="shared" si="9"/>
        <v>8.5400000000000004E-2</v>
      </c>
    </row>
    <row r="66" spans="27:30" x14ac:dyDescent="0.2">
      <c r="AA66" s="248" t="s">
        <v>214</v>
      </c>
      <c r="AB66" s="248" t="s">
        <v>223</v>
      </c>
      <c r="AC66" s="240" t="str">
        <f t="shared" si="6"/>
        <v>Industrial/Médio</v>
      </c>
      <c r="AD66" s="249">
        <f t="shared" si="9"/>
        <v>8.5400000000000004E-2</v>
      </c>
    </row>
    <row r="67" spans="27:30" x14ac:dyDescent="0.2">
      <c r="AA67" s="248" t="s">
        <v>214</v>
      </c>
      <c r="AB67" s="248" t="s">
        <v>225</v>
      </c>
      <c r="AC67" s="240" t="str">
        <f t="shared" si="6"/>
        <v>Industrial/Grande</v>
      </c>
      <c r="AD67" s="249">
        <f t="shared" si="9"/>
        <v>8.5400000000000004E-2</v>
      </c>
    </row>
    <row r="68" spans="27:30" x14ac:dyDescent="0.2">
      <c r="AA68" s="248" t="s">
        <v>217</v>
      </c>
      <c r="AB68" s="248" t="s">
        <v>213</v>
      </c>
      <c r="AC68" s="240" t="str">
        <f t="shared" si="6"/>
        <v>Comércio/MEI</v>
      </c>
      <c r="AD68" s="249">
        <f t="shared" si="9"/>
        <v>8.5400000000000004E-2</v>
      </c>
    </row>
    <row r="69" spans="27:30" x14ac:dyDescent="0.2">
      <c r="AA69" s="248" t="s">
        <v>217</v>
      </c>
      <c r="AB69" s="248" t="s">
        <v>15</v>
      </c>
      <c r="AC69" s="240" t="str">
        <f t="shared" si="6"/>
        <v>Comércio/Mini</v>
      </c>
      <c r="AD69" s="249">
        <f t="shared" si="9"/>
        <v>8.5400000000000004E-2</v>
      </c>
    </row>
    <row r="70" spans="27:30" x14ac:dyDescent="0.2">
      <c r="AA70" s="248" t="s">
        <v>217</v>
      </c>
      <c r="AB70" s="248" t="s">
        <v>216</v>
      </c>
      <c r="AC70" s="240" t="str">
        <f t="shared" si="6"/>
        <v>Comércio/Micro</v>
      </c>
      <c r="AD70" s="249">
        <f t="shared" si="9"/>
        <v>8.5400000000000004E-2</v>
      </c>
    </row>
    <row r="71" spans="27:30" x14ac:dyDescent="0.2">
      <c r="AA71" s="248" t="s">
        <v>217</v>
      </c>
      <c r="AB71" s="248" t="s">
        <v>219</v>
      </c>
      <c r="AC71" s="240" t="str">
        <f t="shared" si="6"/>
        <v>Comércio/Pequeno</v>
      </c>
      <c r="AD71" s="249">
        <f t="shared" si="9"/>
        <v>8.5400000000000004E-2</v>
      </c>
    </row>
    <row r="72" spans="27:30" x14ac:dyDescent="0.2">
      <c r="AA72" s="248" t="s">
        <v>217</v>
      </c>
      <c r="AB72" s="248" t="s">
        <v>222</v>
      </c>
      <c r="AC72" s="240" t="str">
        <f t="shared" si="6"/>
        <v>Comércio/Pequeno-Médio</v>
      </c>
      <c r="AD72" s="249">
        <f t="shared" si="9"/>
        <v>8.5400000000000004E-2</v>
      </c>
    </row>
    <row r="73" spans="27:30" x14ac:dyDescent="0.2">
      <c r="AA73" s="248" t="s">
        <v>217</v>
      </c>
      <c r="AB73" s="248" t="s">
        <v>223</v>
      </c>
      <c r="AC73" s="240" t="str">
        <f t="shared" si="6"/>
        <v>Comércio/Médio</v>
      </c>
      <c r="AD73" s="249">
        <f t="shared" si="9"/>
        <v>8.5400000000000004E-2</v>
      </c>
    </row>
    <row r="74" spans="27:30" x14ac:dyDescent="0.2">
      <c r="AA74" s="248" t="s">
        <v>217</v>
      </c>
      <c r="AB74" s="248" t="s">
        <v>225</v>
      </c>
      <c r="AC74" s="240" t="str">
        <f t="shared" si="6"/>
        <v>Comércio/Grande</v>
      </c>
      <c r="AD74" s="249">
        <f t="shared" si="9"/>
        <v>8.5400000000000004E-2</v>
      </c>
    </row>
    <row r="75" spans="27:30" x14ac:dyDescent="0.2">
      <c r="AA75" s="248" t="s">
        <v>220</v>
      </c>
      <c r="AB75" s="248" t="s">
        <v>213</v>
      </c>
      <c r="AC75" s="240" t="str">
        <f t="shared" si="6"/>
        <v>Serviços/MEI</v>
      </c>
      <c r="AD75" s="249">
        <f t="shared" si="9"/>
        <v>8.5400000000000004E-2</v>
      </c>
    </row>
    <row r="76" spans="27:30" x14ac:dyDescent="0.2">
      <c r="AA76" s="248" t="s">
        <v>220</v>
      </c>
      <c r="AB76" s="248" t="s">
        <v>15</v>
      </c>
      <c r="AC76" s="240" t="str">
        <f t="shared" si="6"/>
        <v>Serviços/Mini</v>
      </c>
      <c r="AD76" s="249">
        <f t="shared" si="9"/>
        <v>8.5400000000000004E-2</v>
      </c>
    </row>
    <row r="77" spans="27:30" x14ac:dyDescent="0.2">
      <c r="AA77" s="248" t="s">
        <v>220</v>
      </c>
      <c r="AB77" s="248" t="s">
        <v>216</v>
      </c>
      <c r="AC77" s="240" t="str">
        <f t="shared" si="6"/>
        <v>Serviços/Micro</v>
      </c>
      <c r="AD77" s="249">
        <f t="shared" si="9"/>
        <v>8.5400000000000004E-2</v>
      </c>
    </row>
    <row r="78" spans="27:30" x14ac:dyDescent="0.2">
      <c r="AA78" s="248" t="s">
        <v>220</v>
      </c>
      <c r="AB78" s="248" t="s">
        <v>219</v>
      </c>
      <c r="AC78" s="240" t="str">
        <f t="shared" si="6"/>
        <v>Serviços/Pequeno</v>
      </c>
      <c r="AD78" s="249">
        <f t="shared" si="9"/>
        <v>8.5400000000000004E-2</v>
      </c>
    </row>
    <row r="79" spans="27:30" x14ac:dyDescent="0.2">
      <c r="AA79" s="248" t="s">
        <v>220</v>
      </c>
      <c r="AB79" s="248" t="s">
        <v>222</v>
      </c>
      <c r="AC79" s="240" t="str">
        <f t="shared" si="6"/>
        <v>Serviços/Pequeno-Médio</v>
      </c>
      <c r="AD79" s="249">
        <f t="shared" si="9"/>
        <v>8.5400000000000004E-2</v>
      </c>
    </row>
    <row r="80" spans="27:30" x14ac:dyDescent="0.2">
      <c r="AA80" s="248" t="s">
        <v>220</v>
      </c>
      <c r="AB80" s="248" t="s">
        <v>223</v>
      </c>
      <c r="AC80" s="240" t="str">
        <f t="shared" si="6"/>
        <v>Serviços/Médio</v>
      </c>
      <c r="AD80" s="249">
        <f t="shared" si="9"/>
        <v>8.5400000000000004E-2</v>
      </c>
    </row>
    <row r="81" spans="27:30" x14ac:dyDescent="0.2">
      <c r="AA81" s="248" t="s">
        <v>220</v>
      </c>
      <c r="AB81" s="248" t="s">
        <v>225</v>
      </c>
      <c r="AC81" s="240" t="str">
        <f t="shared" si="6"/>
        <v>Serviços/Grande</v>
      </c>
      <c r="AD81" s="249">
        <f t="shared" si="9"/>
        <v>8.5400000000000004E-2</v>
      </c>
    </row>
    <row r="84" spans="27:30" x14ac:dyDescent="0.2">
      <c r="AA84" s="250" t="s">
        <v>235</v>
      </c>
      <c r="AB84" s="251">
        <f>Proposta!K38</f>
        <v>0</v>
      </c>
    </row>
    <row r="85" spans="27:30" x14ac:dyDescent="0.2">
      <c r="AA85" s="250" t="s">
        <v>210</v>
      </c>
      <c r="AB85" s="252" t="str">
        <f>Proposta!J8</f>
        <v>Rural</v>
      </c>
    </row>
    <row r="86" spans="27:30" x14ac:dyDescent="0.2">
      <c r="AA86" s="250" t="s">
        <v>208</v>
      </c>
      <c r="AB86" s="252" t="str">
        <f>Proposta!J9</f>
        <v>Mini</v>
      </c>
      <c r="AC86" t="str">
        <f>AB85&amp;"/"&amp;AB86</f>
        <v>Rural/Mini</v>
      </c>
    </row>
    <row r="89" spans="27:30" x14ac:dyDescent="0.2">
      <c r="AA89" s="250" t="s">
        <v>236</v>
      </c>
      <c r="AB89" s="253">
        <f>IF(ISERROR(VLOOKUP(AB86,$AA$4:$AB$10,2,0)*AB84),0,VLOOKUP(AB86,$AA$4:$AB$10,2,0)*AB84)</f>
        <v>0</v>
      </c>
    </row>
    <row r="90" spans="27:30" ht="15.75" customHeight="1" x14ac:dyDescent="0.25">
      <c r="AA90" s="254" t="s">
        <v>237</v>
      </c>
      <c r="AB90" s="255">
        <f>AB89-AB91</f>
        <v>0</v>
      </c>
    </row>
    <row r="91" spans="27:30" x14ac:dyDescent="0.2">
      <c r="AA91" s="250" t="s">
        <v>238</v>
      </c>
      <c r="AB91" s="256">
        <f>IF(ISERROR(VLOOKUP(AC86,AC13:AD40,2,0)*AB89),0,VLOOKUP(AC86,AC13:AD40,2,0)*AB89)</f>
        <v>0</v>
      </c>
    </row>
    <row r="93" spans="27:30" x14ac:dyDescent="0.2">
      <c r="AA93" s="250" t="s">
        <v>239</v>
      </c>
      <c r="AB93" s="250"/>
    </row>
    <row r="94" spans="27:30" x14ac:dyDescent="0.2">
      <c r="AA94" s="250" t="s">
        <v>139</v>
      </c>
      <c r="AB94" s="257">
        <v>5</v>
      </c>
    </row>
    <row r="95" spans="27:30" x14ac:dyDescent="0.2">
      <c r="AA95" s="250" t="s">
        <v>92</v>
      </c>
      <c r="AB95" s="257">
        <v>0</v>
      </c>
    </row>
    <row r="96" spans="27:30" x14ac:dyDescent="0.2">
      <c r="AA96" s="250" t="s">
        <v>240</v>
      </c>
      <c r="AB96" s="258">
        <f>IF(ISERROR(VLOOKUP(AC86,AC54:AD81,2,0)),0,VLOOKUP(AC86,AC54:AD81,2,0))*100</f>
        <v>0</v>
      </c>
    </row>
    <row r="98" spans="26:30" ht="15.75" customHeight="1" x14ac:dyDescent="0.25">
      <c r="Z98" s="110" t="s">
        <v>45</v>
      </c>
      <c r="AA98" s="259" t="s">
        <v>235</v>
      </c>
      <c r="AB98" s="259" t="s">
        <v>236</v>
      </c>
      <c r="AC98" s="260" t="s">
        <v>237</v>
      </c>
      <c r="AD98" s="259" t="s">
        <v>238</v>
      </c>
    </row>
    <row r="99" spans="26:30" ht="15.75" customHeight="1" x14ac:dyDescent="0.25">
      <c r="Z99" s="49">
        <v>1</v>
      </c>
      <c r="AA99" s="261">
        <f>Proposta!J47</f>
        <v>30000</v>
      </c>
      <c r="AB99" s="261">
        <f t="shared" ref="AB99:AB118" si="10">IF(ISERROR(VLOOKUP($AB$86,$AA$4:$AB$10,2,0)*AA99),0,VLOOKUP($AB$86,$AA$4:$AB$10,2,0)*AA99)</f>
        <v>27993</v>
      </c>
      <c r="AC99" s="262">
        <f t="shared" ref="AC99:AC118" si="11">AB99-AD99</f>
        <v>23524.365438000001</v>
      </c>
      <c r="AD99" s="263">
        <f t="shared" ref="AD99:AD118" si="12">IF(ISERROR(VLOOKUP($AC$86,$AC$13:$AD$40,2,0)*AB99),0,VLOOKUP($AC$86,$AC$13:$AD$40,2,0)*AB99)</f>
        <v>4468.6345620000002</v>
      </c>
    </row>
    <row r="100" spans="26:30" ht="15.75" customHeight="1" x14ac:dyDescent="0.25">
      <c r="Z100" s="49">
        <v>2</v>
      </c>
      <c r="AA100" s="261">
        <f>Proposta!J48</f>
        <v>30000</v>
      </c>
      <c r="AB100" s="261">
        <f t="shared" si="10"/>
        <v>27993</v>
      </c>
      <c r="AC100" s="262">
        <f t="shared" si="11"/>
        <v>23524.365438000001</v>
      </c>
      <c r="AD100" s="263">
        <f t="shared" si="12"/>
        <v>4468.6345620000002</v>
      </c>
    </row>
    <row r="101" spans="26:30" ht="15.75" customHeight="1" x14ac:dyDescent="0.25">
      <c r="Z101" s="49">
        <v>3</v>
      </c>
      <c r="AA101" s="261">
        <f>Proposta!J49</f>
        <v>30000</v>
      </c>
      <c r="AB101" s="261">
        <f t="shared" si="10"/>
        <v>27993</v>
      </c>
      <c r="AC101" s="262">
        <f t="shared" si="11"/>
        <v>23524.365438000001</v>
      </c>
      <c r="AD101" s="263">
        <f t="shared" si="12"/>
        <v>4468.6345620000002</v>
      </c>
    </row>
    <row r="102" spans="26:30" ht="15.75" customHeight="1" x14ac:dyDescent="0.25">
      <c r="Z102" s="49">
        <v>4</v>
      </c>
      <c r="AA102" s="261">
        <f>Proposta!J50</f>
        <v>30000</v>
      </c>
      <c r="AB102" s="261">
        <f t="shared" si="10"/>
        <v>27993</v>
      </c>
      <c r="AC102" s="262">
        <f t="shared" si="11"/>
        <v>23524.365438000001</v>
      </c>
      <c r="AD102" s="263">
        <f t="shared" si="12"/>
        <v>4468.6345620000002</v>
      </c>
    </row>
    <row r="103" spans="26:30" ht="15.75" customHeight="1" x14ac:dyDescent="0.25">
      <c r="Z103" s="49">
        <v>5</v>
      </c>
      <c r="AA103" s="261">
        <f>Proposta!J51</f>
        <v>30000</v>
      </c>
      <c r="AB103" s="261">
        <f t="shared" si="10"/>
        <v>27993</v>
      </c>
      <c r="AC103" s="262">
        <f t="shared" si="11"/>
        <v>23524.365438000001</v>
      </c>
      <c r="AD103" s="263">
        <f t="shared" si="12"/>
        <v>4468.6345620000002</v>
      </c>
    </row>
    <row r="104" spans="26:30" ht="15.75" customHeight="1" x14ac:dyDescent="0.25">
      <c r="Z104" s="49">
        <v>6</v>
      </c>
      <c r="AA104" s="261">
        <f>Proposta!J52</f>
        <v>30000</v>
      </c>
      <c r="AB104" s="261">
        <f t="shared" si="10"/>
        <v>27993</v>
      </c>
      <c r="AC104" s="262">
        <f t="shared" si="11"/>
        <v>23524.365438000001</v>
      </c>
      <c r="AD104" s="263">
        <f t="shared" si="12"/>
        <v>4468.6345620000002</v>
      </c>
    </row>
    <row r="105" spans="26:30" ht="15.75" customHeight="1" x14ac:dyDescent="0.25">
      <c r="Z105" s="49">
        <v>7</v>
      </c>
      <c r="AA105" s="261">
        <f>Proposta!J53</f>
        <v>30000</v>
      </c>
      <c r="AB105" s="261">
        <f t="shared" si="10"/>
        <v>27993</v>
      </c>
      <c r="AC105" s="262">
        <f t="shared" si="11"/>
        <v>23524.365438000001</v>
      </c>
      <c r="AD105" s="263">
        <f t="shared" si="12"/>
        <v>4468.6345620000002</v>
      </c>
    </row>
    <row r="106" spans="26:30" ht="15.75" customHeight="1" x14ac:dyDescent="0.25">
      <c r="Z106" s="49">
        <v>8</v>
      </c>
      <c r="AA106" s="261">
        <f>Proposta!J54</f>
        <v>30000</v>
      </c>
      <c r="AB106" s="261">
        <f t="shared" si="10"/>
        <v>27993</v>
      </c>
      <c r="AC106" s="262">
        <f t="shared" si="11"/>
        <v>23524.365438000001</v>
      </c>
      <c r="AD106" s="263">
        <f t="shared" si="12"/>
        <v>4468.6345620000002</v>
      </c>
    </row>
    <row r="107" spans="26:30" ht="15.75" customHeight="1" x14ac:dyDescent="0.25">
      <c r="Z107" s="49">
        <v>9</v>
      </c>
      <c r="AA107" s="261">
        <f>Proposta!J55</f>
        <v>30000</v>
      </c>
      <c r="AB107" s="261">
        <f t="shared" si="10"/>
        <v>27993</v>
      </c>
      <c r="AC107" s="262">
        <f t="shared" si="11"/>
        <v>23524.365438000001</v>
      </c>
      <c r="AD107" s="263">
        <f t="shared" si="12"/>
        <v>4468.6345620000002</v>
      </c>
    </row>
    <row r="108" spans="26:30" ht="15.75" customHeight="1" x14ac:dyDescent="0.25">
      <c r="Z108" s="49">
        <v>10</v>
      </c>
      <c r="AA108" s="261">
        <f>Proposta!J56</f>
        <v>30000</v>
      </c>
      <c r="AB108" s="261">
        <f t="shared" si="10"/>
        <v>27993</v>
      </c>
      <c r="AC108" s="262">
        <f t="shared" si="11"/>
        <v>23524.365438000001</v>
      </c>
      <c r="AD108" s="263">
        <f t="shared" si="12"/>
        <v>4468.6345620000002</v>
      </c>
    </row>
    <row r="109" spans="26:30" ht="15.75" customHeight="1" x14ac:dyDescent="0.25">
      <c r="Z109" s="49">
        <v>11</v>
      </c>
      <c r="AA109" s="261">
        <f>Proposta!J57</f>
        <v>30000</v>
      </c>
      <c r="AB109" s="261">
        <f t="shared" si="10"/>
        <v>27993</v>
      </c>
      <c r="AC109" s="262">
        <f t="shared" si="11"/>
        <v>23524.365438000001</v>
      </c>
      <c r="AD109" s="263">
        <f t="shared" si="12"/>
        <v>4468.6345620000002</v>
      </c>
    </row>
    <row r="110" spans="26:30" ht="15.75" customHeight="1" x14ac:dyDescent="0.25">
      <c r="Z110" s="49">
        <v>12</v>
      </c>
      <c r="AA110" s="261">
        <f>Proposta!J58</f>
        <v>30000</v>
      </c>
      <c r="AB110" s="261">
        <f t="shared" si="10"/>
        <v>27993</v>
      </c>
      <c r="AC110" s="262">
        <f t="shared" si="11"/>
        <v>23524.365438000001</v>
      </c>
      <c r="AD110" s="263">
        <f t="shared" si="12"/>
        <v>4468.6345620000002</v>
      </c>
    </row>
    <row r="111" spans="26:30" ht="15.75" customHeight="1" x14ac:dyDescent="0.25">
      <c r="Z111" s="49">
        <v>13</v>
      </c>
      <c r="AA111" s="261">
        <f>Proposta!J59</f>
        <v>30000</v>
      </c>
      <c r="AB111" s="261">
        <f t="shared" si="10"/>
        <v>27993</v>
      </c>
      <c r="AC111" s="262">
        <f t="shared" si="11"/>
        <v>23524.365438000001</v>
      </c>
      <c r="AD111" s="263">
        <f t="shared" si="12"/>
        <v>4468.6345620000002</v>
      </c>
    </row>
    <row r="112" spans="26:30" ht="15.75" customHeight="1" x14ac:dyDescent="0.25">
      <c r="Z112" s="49">
        <v>14</v>
      </c>
      <c r="AA112" s="261">
        <f>Proposta!J60</f>
        <v>30000</v>
      </c>
      <c r="AB112" s="261">
        <f t="shared" si="10"/>
        <v>27993</v>
      </c>
      <c r="AC112" s="262">
        <f t="shared" si="11"/>
        <v>23524.365438000001</v>
      </c>
      <c r="AD112" s="263">
        <f t="shared" si="12"/>
        <v>4468.6345620000002</v>
      </c>
    </row>
    <row r="113" spans="26:30" ht="15.75" customHeight="1" x14ac:dyDescent="0.25">
      <c r="Z113" s="49">
        <v>15</v>
      </c>
      <c r="AA113" s="261">
        <f>Proposta!J61</f>
        <v>30000</v>
      </c>
      <c r="AB113" s="261">
        <f t="shared" si="10"/>
        <v>27993</v>
      </c>
      <c r="AC113" s="262">
        <f t="shared" si="11"/>
        <v>23524.365438000001</v>
      </c>
      <c r="AD113" s="263">
        <f t="shared" si="12"/>
        <v>4468.6345620000002</v>
      </c>
    </row>
    <row r="114" spans="26:30" ht="15.75" customHeight="1" x14ac:dyDescent="0.25">
      <c r="Z114" s="49">
        <v>16</v>
      </c>
      <c r="AA114" s="261">
        <f>Proposta!J62</f>
        <v>30000</v>
      </c>
      <c r="AB114" s="261">
        <f t="shared" si="10"/>
        <v>27993</v>
      </c>
      <c r="AC114" s="262">
        <f t="shared" si="11"/>
        <v>23524.365438000001</v>
      </c>
      <c r="AD114" s="263">
        <f t="shared" si="12"/>
        <v>4468.6345620000002</v>
      </c>
    </row>
    <row r="115" spans="26:30" ht="15.75" customHeight="1" x14ac:dyDescent="0.25">
      <c r="Z115" s="49">
        <v>17</v>
      </c>
      <c r="AA115" s="261">
        <f>Proposta!J63</f>
        <v>30000</v>
      </c>
      <c r="AB115" s="261">
        <f t="shared" si="10"/>
        <v>27993</v>
      </c>
      <c r="AC115" s="262">
        <f t="shared" si="11"/>
        <v>23524.365438000001</v>
      </c>
      <c r="AD115" s="263">
        <f t="shared" si="12"/>
        <v>4468.6345620000002</v>
      </c>
    </row>
    <row r="116" spans="26:30" ht="15.75" customHeight="1" x14ac:dyDescent="0.25">
      <c r="Z116" s="49">
        <v>18</v>
      </c>
      <c r="AA116" s="261">
        <f>Proposta!J64</f>
        <v>30000</v>
      </c>
      <c r="AB116" s="261">
        <f t="shared" si="10"/>
        <v>27993</v>
      </c>
      <c r="AC116" s="262">
        <f t="shared" si="11"/>
        <v>23524.365438000001</v>
      </c>
      <c r="AD116" s="263">
        <f t="shared" si="12"/>
        <v>4468.6345620000002</v>
      </c>
    </row>
    <row r="117" spans="26:30" ht="15.75" customHeight="1" x14ac:dyDescent="0.25">
      <c r="Z117" s="49">
        <v>19</v>
      </c>
      <c r="AA117" s="261">
        <f>Proposta!J65</f>
        <v>30000</v>
      </c>
      <c r="AB117" s="261">
        <f t="shared" si="10"/>
        <v>27993</v>
      </c>
      <c r="AC117" s="262">
        <f t="shared" si="11"/>
        <v>23524.365438000001</v>
      </c>
      <c r="AD117" s="263">
        <f t="shared" si="12"/>
        <v>4468.6345620000002</v>
      </c>
    </row>
    <row r="118" spans="26:30" ht="15.75" customHeight="1" x14ac:dyDescent="0.25">
      <c r="Z118" s="49">
        <v>20</v>
      </c>
      <c r="AA118" s="261">
        <f>Proposta!J66</f>
        <v>30000</v>
      </c>
      <c r="AB118" s="261">
        <f t="shared" si="10"/>
        <v>27993</v>
      </c>
      <c r="AC118" s="262">
        <f t="shared" si="11"/>
        <v>23524.365438000001</v>
      </c>
      <c r="AD118" s="263">
        <f t="shared" si="12"/>
        <v>4468.6345620000002</v>
      </c>
    </row>
  </sheetData>
  <mergeCells count="1">
    <mergeCell ref="AA42:AC42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997"/>
  <sheetViews>
    <sheetView showGridLines="0" tabSelected="1" workbookViewId="0">
      <pane ySplit="2" topLeftCell="A70" activePane="bottomLeft" state="frozen"/>
      <selection pane="bottomLeft" activeCell="M99" sqref="M99:Q99"/>
    </sheetView>
  </sheetViews>
  <sheetFormatPr defaultColWidth="11.21875" defaultRowHeight="15" customHeight="1" x14ac:dyDescent="0.2"/>
  <cols>
    <col min="1" max="1" width="2.77734375" customWidth="1"/>
    <col min="2" max="2" width="10.109375" hidden="1" customWidth="1"/>
    <col min="3" max="3" width="26.109375" hidden="1" customWidth="1"/>
    <col min="4" max="4" width="27.77734375" hidden="1" customWidth="1"/>
    <col min="5" max="5" width="11.44140625" hidden="1" customWidth="1"/>
    <col min="6" max="6" width="13.44140625" hidden="1" customWidth="1"/>
    <col min="7" max="7" width="9.21875" hidden="1" customWidth="1"/>
    <col min="8" max="8" width="2.77734375" hidden="1" customWidth="1"/>
    <col min="9" max="9" width="10.77734375" customWidth="1"/>
    <col min="10" max="10" width="15.88671875" customWidth="1"/>
    <col min="11" max="11" width="8.77734375" customWidth="1"/>
    <col min="12" max="13" width="7.77734375" customWidth="1"/>
    <col min="14" max="14" width="12.21875" customWidth="1"/>
    <col min="15" max="15" width="11.77734375" customWidth="1"/>
    <col min="16" max="16" width="12.88671875" customWidth="1"/>
    <col min="17" max="17" width="14.77734375" customWidth="1"/>
    <col min="18" max="19" width="10.77734375" customWidth="1"/>
    <col min="20" max="20" width="8.77734375" customWidth="1"/>
    <col min="21" max="21" width="8.77734375" hidden="1" customWidth="1"/>
    <col min="22" max="24" width="7.109375" hidden="1" customWidth="1"/>
    <col min="25" max="25" width="11.21875" hidden="1" customWidth="1"/>
    <col min="26" max="26" width="6.6640625" hidden="1" customWidth="1"/>
    <col min="27" max="34" width="7.109375" hidden="1" customWidth="1"/>
    <col min="35" max="38" width="8" hidden="1" customWidth="1"/>
  </cols>
  <sheetData>
    <row r="1" spans="1:38" ht="39.75" customHeight="1" x14ac:dyDescent="0.2">
      <c r="A1" s="15"/>
      <c r="B1" s="15"/>
      <c r="C1" s="15"/>
      <c r="D1" s="16" t="s">
        <v>1</v>
      </c>
      <c r="E1" s="16" t="s">
        <v>2</v>
      </c>
      <c r="F1" s="16" t="s">
        <v>3</v>
      </c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323"/>
      <c r="S1" s="274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</row>
    <row r="2" spans="1:38" ht="24.75" customHeight="1" x14ac:dyDescent="0.25">
      <c r="A2" s="15"/>
      <c r="B2" s="15"/>
      <c r="C2" s="15"/>
      <c r="D2" s="17">
        <f>SUM(J47:J66)</f>
        <v>600000</v>
      </c>
      <c r="E2" s="18">
        <v>1</v>
      </c>
      <c r="F2" s="17">
        <f>SUM(J47:J66)+SUM(Q47:Q66)</f>
        <v>600000</v>
      </c>
      <c r="G2" s="15"/>
      <c r="H2" s="15"/>
      <c r="I2" s="302" t="s">
        <v>4</v>
      </c>
      <c r="J2" s="298"/>
      <c r="K2" s="298"/>
      <c r="L2" s="298"/>
      <c r="M2" s="298"/>
      <c r="N2" s="298"/>
      <c r="O2" s="298"/>
      <c r="P2" s="298"/>
      <c r="Q2" s="298"/>
      <c r="R2" s="298"/>
      <c r="S2" s="274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</row>
    <row r="3" spans="1:38" ht="19.5" customHeight="1" x14ac:dyDescent="0.25">
      <c r="A3" s="15"/>
      <c r="B3" s="15"/>
      <c r="C3" s="15"/>
      <c r="D3" s="15"/>
      <c r="E3" s="18">
        <v>1</v>
      </c>
      <c r="F3" s="15"/>
      <c r="G3" s="15"/>
      <c r="H3" s="15"/>
      <c r="I3" s="19"/>
      <c r="J3" s="19"/>
      <c r="K3" s="19"/>
      <c r="L3" s="19"/>
      <c r="M3" s="19"/>
      <c r="N3" s="19"/>
      <c r="O3" s="19"/>
      <c r="P3" s="19"/>
      <c r="Q3" s="19"/>
      <c r="R3" s="15"/>
      <c r="S3" s="20" t="s">
        <v>5</v>
      </c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</row>
    <row r="4" spans="1:38" ht="19.5" customHeight="1" x14ac:dyDescent="0.25">
      <c r="A4" s="15"/>
      <c r="B4" s="15"/>
      <c r="C4" s="15"/>
      <c r="D4" s="15"/>
      <c r="E4" s="18">
        <v>1</v>
      </c>
      <c r="F4" s="15"/>
      <c r="G4" s="15"/>
      <c r="H4" s="15"/>
      <c r="I4" s="288" t="s">
        <v>6</v>
      </c>
      <c r="J4" s="289"/>
      <c r="K4" s="289"/>
      <c r="L4" s="289"/>
      <c r="M4" s="289"/>
      <c r="N4" s="289"/>
      <c r="O4" s="289"/>
      <c r="P4" s="289"/>
      <c r="Q4" s="289"/>
      <c r="R4" s="289"/>
      <c r="S4" s="290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</row>
    <row r="5" spans="1:38" ht="19.5" customHeight="1" x14ac:dyDescent="0.25">
      <c r="A5" s="15"/>
      <c r="B5" s="15"/>
      <c r="C5" s="15"/>
      <c r="D5" s="15"/>
      <c r="E5" s="18">
        <v>1</v>
      </c>
      <c r="F5" s="15"/>
      <c r="G5" s="15"/>
      <c r="H5" s="15"/>
      <c r="I5" s="19"/>
      <c r="J5" s="19"/>
      <c r="K5" s="19"/>
      <c r="L5" s="19"/>
      <c r="M5" s="19"/>
      <c r="N5" s="19"/>
      <c r="O5" s="19"/>
      <c r="P5" s="19"/>
      <c r="Q5" s="19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</row>
    <row r="6" spans="1:38" ht="19.5" customHeight="1" x14ac:dyDescent="0.25">
      <c r="A6" s="15"/>
      <c r="B6" s="15"/>
      <c r="C6" s="15"/>
      <c r="D6" s="15"/>
      <c r="E6" s="18">
        <v>1</v>
      </c>
      <c r="F6" s="15"/>
      <c r="G6" s="15"/>
      <c r="H6" s="15"/>
      <c r="I6" s="21" t="s">
        <v>7</v>
      </c>
      <c r="J6" s="303"/>
      <c r="K6" s="286"/>
      <c r="L6" s="286"/>
      <c r="M6" s="286"/>
      <c r="N6" s="282"/>
      <c r="O6" s="22"/>
      <c r="P6" s="21" t="s">
        <v>8</v>
      </c>
      <c r="Q6" s="324"/>
      <c r="R6" s="286"/>
      <c r="S6" s="282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</row>
    <row r="7" spans="1:38" ht="19.5" customHeight="1" x14ac:dyDescent="0.25">
      <c r="A7" s="15"/>
      <c r="B7" s="15"/>
      <c r="C7" s="15"/>
      <c r="D7" s="15"/>
      <c r="E7" s="18">
        <v>1</v>
      </c>
      <c r="F7" s="15"/>
      <c r="G7" s="15"/>
      <c r="H7" s="15"/>
      <c r="I7" s="21" t="s">
        <v>9</v>
      </c>
      <c r="J7" s="303"/>
      <c r="K7" s="286"/>
      <c r="L7" s="286"/>
      <c r="M7" s="286"/>
      <c r="N7" s="282"/>
      <c r="O7" s="22"/>
      <c r="P7" s="21" t="s">
        <v>10</v>
      </c>
      <c r="Q7" s="303"/>
      <c r="R7" s="286"/>
      <c r="S7" s="282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</row>
    <row r="8" spans="1:38" ht="19.5" customHeight="1" x14ac:dyDescent="0.25">
      <c r="A8" s="15"/>
      <c r="B8" s="15"/>
      <c r="C8" s="15"/>
      <c r="D8" s="15"/>
      <c r="E8" s="18">
        <v>1</v>
      </c>
      <c r="F8" s="15"/>
      <c r="G8" s="15"/>
      <c r="H8" s="15"/>
      <c r="I8" s="21" t="s">
        <v>11</v>
      </c>
      <c r="J8" s="322" t="s">
        <v>12</v>
      </c>
      <c r="K8" s="286"/>
      <c r="L8" s="286"/>
      <c r="M8" s="286"/>
      <c r="N8" s="282"/>
      <c r="O8" s="22"/>
      <c r="P8" s="21" t="s">
        <v>13</v>
      </c>
      <c r="Q8" s="303"/>
      <c r="R8" s="286"/>
      <c r="S8" s="282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</row>
    <row r="9" spans="1:38" ht="19.5" customHeight="1" x14ac:dyDescent="0.25">
      <c r="A9" s="15"/>
      <c r="B9" s="15"/>
      <c r="C9" s="15"/>
      <c r="D9" s="15"/>
      <c r="E9" s="18">
        <v>1</v>
      </c>
      <c r="F9" s="15"/>
      <c r="G9" s="15"/>
      <c r="H9" s="15"/>
      <c r="I9" s="21" t="s">
        <v>14</v>
      </c>
      <c r="J9" s="322" t="s">
        <v>15</v>
      </c>
      <c r="K9" s="286"/>
      <c r="L9" s="286"/>
      <c r="M9" s="286"/>
      <c r="N9" s="282"/>
      <c r="O9" s="22"/>
      <c r="P9" s="22"/>
      <c r="Q9" s="22"/>
      <c r="R9" s="22"/>
      <c r="S9" s="22"/>
      <c r="T9" s="22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</row>
    <row r="10" spans="1:38" ht="19.5" customHeight="1" x14ac:dyDescent="0.25">
      <c r="A10" s="15"/>
      <c r="B10" s="15"/>
      <c r="C10" s="15"/>
      <c r="D10" s="15"/>
      <c r="E10" s="18">
        <v>1</v>
      </c>
      <c r="F10" s="15"/>
      <c r="G10" s="15"/>
      <c r="H10" s="15"/>
      <c r="I10" s="22"/>
      <c r="J10" s="22"/>
      <c r="K10" s="22"/>
      <c r="L10" s="22"/>
      <c r="M10" s="22"/>
      <c r="N10" s="22"/>
      <c r="O10" s="19"/>
      <c r="P10" s="19"/>
      <c r="Q10" s="19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</row>
    <row r="11" spans="1:38" ht="19.5" customHeight="1" x14ac:dyDescent="0.25">
      <c r="A11" s="15"/>
      <c r="B11" s="15"/>
      <c r="C11" s="15"/>
      <c r="D11" s="15"/>
      <c r="E11" s="18">
        <v>1</v>
      </c>
      <c r="F11" s="15"/>
      <c r="G11" s="15"/>
      <c r="H11" s="15"/>
      <c r="I11" s="288" t="s">
        <v>16</v>
      </c>
      <c r="J11" s="289"/>
      <c r="K11" s="289"/>
      <c r="L11" s="289"/>
      <c r="M11" s="289"/>
      <c r="N11" s="289"/>
      <c r="O11" s="289"/>
      <c r="P11" s="289"/>
      <c r="Q11" s="289"/>
      <c r="R11" s="289"/>
      <c r="S11" s="290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</row>
    <row r="12" spans="1:38" ht="19.5" customHeight="1" x14ac:dyDescent="0.25">
      <c r="A12" s="15"/>
      <c r="B12" s="319" t="s">
        <v>17</v>
      </c>
      <c r="C12" s="16" t="s">
        <v>18</v>
      </c>
      <c r="D12" s="16" t="s">
        <v>19</v>
      </c>
      <c r="E12" s="18">
        <v>1</v>
      </c>
      <c r="F12" s="16" t="s">
        <v>20</v>
      </c>
      <c r="G12" s="16" t="s">
        <v>21</v>
      </c>
      <c r="H12" s="15"/>
      <c r="I12" s="23"/>
      <c r="J12" s="23"/>
      <c r="K12" s="23"/>
      <c r="L12" s="23"/>
      <c r="M12" s="23"/>
      <c r="N12" s="23"/>
      <c r="O12" s="23"/>
      <c r="P12" s="23"/>
      <c r="Q12" s="23"/>
      <c r="R12" s="15"/>
      <c r="S12" s="15"/>
      <c r="T12" s="15"/>
      <c r="U12" s="16" t="s">
        <v>22</v>
      </c>
      <c r="V12" s="15"/>
      <c r="W12" s="16" t="s">
        <v>23</v>
      </c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</row>
    <row r="13" spans="1:38" ht="47.25" customHeight="1" x14ac:dyDescent="0.25">
      <c r="A13" s="15"/>
      <c r="B13" s="280"/>
      <c r="C13" s="24"/>
      <c r="D13" s="24"/>
      <c r="E13" s="18">
        <v>1</v>
      </c>
      <c r="F13" s="24"/>
      <c r="G13" s="25">
        <f>SUM(G14:G33)</f>
        <v>1</v>
      </c>
      <c r="H13" s="15"/>
      <c r="I13" s="26"/>
      <c r="J13" s="285" t="s">
        <v>24</v>
      </c>
      <c r="K13" s="282"/>
      <c r="L13" s="285" t="s">
        <v>25</v>
      </c>
      <c r="M13" s="282"/>
      <c r="N13" s="27" t="s">
        <v>26</v>
      </c>
      <c r="O13" s="27" t="s">
        <v>27</v>
      </c>
      <c r="P13" s="27" t="s">
        <v>28</v>
      </c>
      <c r="Q13" s="325" t="s">
        <v>29</v>
      </c>
      <c r="R13" s="282"/>
      <c r="S13" s="28"/>
      <c r="T13" s="15"/>
      <c r="U13" s="29">
        <f>SUM(U14:U33)</f>
        <v>1</v>
      </c>
      <c r="V13" s="15"/>
      <c r="W13" s="15"/>
      <c r="X13" s="15"/>
      <c r="Y13" s="27" t="s">
        <v>30</v>
      </c>
      <c r="Z13" s="27" t="s">
        <v>31</v>
      </c>
      <c r="AA13" s="27" t="s">
        <v>32</v>
      </c>
      <c r="AB13" s="15">
        <f>MAX(Z15:Z33)</f>
        <v>20</v>
      </c>
      <c r="AC13" s="15"/>
      <c r="AD13" s="15"/>
      <c r="AE13" s="15"/>
      <c r="AF13" s="15"/>
      <c r="AG13" s="15"/>
      <c r="AH13" s="15"/>
      <c r="AI13" s="15"/>
      <c r="AJ13" s="15"/>
      <c r="AK13" s="15"/>
      <c r="AL13" s="15"/>
    </row>
    <row r="14" spans="1:38" ht="19.5" hidden="1" customHeight="1" x14ac:dyDescent="0.25">
      <c r="A14" s="15"/>
      <c r="B14" s="30">
        <f t="shared" ref="B14:B33" si="0">IF(AND(Q14="Não Rural (Exigíveis)-Prestações Iguais",S14="Sim"),0,1)</f>
        <v>1</v>
      </c>
      <c r="C14" s="24" t="str">
        <f>VLOOKUP(W14,Tabela!$H$2:$L$21,5,0)</f>
        <v>J8:J27</v>
      </c>
      <c r="D14" s="24" t="str">
        <f>VLOOKUP(Q14,Tabela!$B$2:$C$4,2,0)&amp;"-A"</f>
        <v>Cálculo2-A</v>
      </c>
      <c r="E14" s="18">
        <v>0</v>
      </c>
      <c r="F14" s="24" t="str">
        <f>VLOOKUP(Q14,Tabela!$B$2:$C$4,2,0)</f>
        <v>Cálculo2</v>
      </c>
      <c r="G14" s="31">
        <f t="shared" ref="G14:G34" si="1">IF(AND(L14&gt;0,N14&gt;0,O14&gt;=0,O14&lt;N14,P14&gt;=0,Q14&lt;&gt;"",B14=1),1,0)</f>
        <v>0</v>
      </c>
      <c r="H14" s="15"/>
      <c r="I14" s="32"/>
      <c r="J14" s="320" t="s">
        <v>33</v>
      </c>
      <c r="K14" s="282"/>
      <c r="L14" s="284">
        <f>I38</f>
        <v>0</v>
      </c>
      <c r="M14" s="282"/>
      <c r="N14" s="33" t="str">
        <f>IF(I38=0,"",Tabela!AB94)</f>
        <v/>
      </c>
      <c r="O14" s="33" t="str">
        <f>IF(I38=0,"",Tabela!AB95)</f>
        <v/>
      </c>
      <c r="P14" s="34" t="str">
        <f>IF(I38=0,"",Tabela!AB96)</f>
        <v/>
      </c>
      <c r="Q14" s="317" t="s">
        <v>34</v>
      </c>
      <c r="R14" s="282"/>
      <c r="S14" s="35" t="s">
        <v>35</v>
      </c>
      <c r="T14" s="15"/>
      <c r="U14" s="15">
        <f t="shared" ref="U14:U33" si="2">IF(AND(S14="Não",Q14&lt;&gt;"",Q14&lt;&gt;"Não Rural (Exigíveis)-Prestações Iguais",G14&lt;&gt;0),1,0)</f>
        <v>0</v>
      </c>
      <c r="V14" s="15"/>
      <c r="W14" s="15">
        <v>1</v>
      </c>
      <c r="X14" s="15"/>
      <c r="Y14" s="15" t="str">
        <f t="shared" ref="Y14:Y33" si="3">IF(Q14="Não Rural (Exigíveis)-Prestações Iguais","Sim",S14)</f>
        <v>Sim</v>
      </c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</row>
    <row r="15" spans="1:38" ht="19.5" customHeight="1" x14ac:dyDescent="0.25">
      <c r="A15" s="15"/>
      <c r="B15" s="30">
        <f t="shared" si="0"/>
        <v>1</v>
      </c>
      <c r="C15" s="24" t="str">
        <f>VLOOKUP(W15,Tabela!$H$2:$L$21,5,0)</f>
        <v>K8:K27</v>
      </c>
      <c r="D15" s="24" t="str">
        <f>VLOOKUP(Q15,Tabela!$B$2:$C$4,2,0)&amp;"-A"</f>
        <v>Cálculo1-A</v>
      </c>
      <c r="E15" s="18">
        <f t="shared" ref="E15:E33" si="4">G15</f>
        <v>1</v>
      </c>
      <c r="F15" s="24" t="str">
        <f>VLOOKUP(Q15,Tabela!$B$2:$C$4,2,0)</f>
        <v>Cálculo1</v>
      </c>
      <c r="G15" s="31">
        <f t="shared" si="1"/>
        <v>1</v>
      </c>
      <c r="H15" s="15"/>
      <c r="I15" s="36">
        <v>1</v>
      </c>
      <c r="J15" s="305"/>
      <c r="K15" s="282"/>
      <c r="L15" s="281">
        <v>20000</v>
      </c>
      <c r="M15" s="282"/>
      <c r="N15" s="37">
        <v>20</v>
      </c>
      <c r="O15" s="37">
        <v>3</v>
      </c>
      <c r="P15" s="38">
        <v>1</v>
      </c>
      <c r="Q15" s="318" t="s">
        <v>36</v>
      </c>
      <c r="R15" s="282"/>
      <c r="S15" s="39" t="s">
        <v>37</v>
      </c>
      <c r="T15" s="15"/>
      <c r="U15" s="15">
        <f t="shared" si="2"/>
        <v>1</v>
      </c>
      <c r="V15" s="15"/>
      <c r="W15" s="15">
        <v>2</v>
      </c>
      <c r="X15" s="15"/>
      <c r="Y15" s="15" t="str">
        <f t="shared" si="3"/>
        <v>Não</v>
      </c>
      <c r="Z15" s="15">
        <f t="shared" ref="Z15:Z33" si="5">IF(AND(S15="Não",Q15&lt;&gt;"Não Rural (Exigíveis)-Prestações Iguais",G15=1),N15,0)</f>
        <v>20</v>
      </c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</row>
    <row r="16" spans="1:38" ht="19.5" hidden="1" customHeight="1" x14ac:dyDescent="0.25">
      <c r="A16" s="15"/>
      <c r="B16" s="30">
        <f t="shared" si="0"/>
        <v>1</v>
      </c>
      <c r="C16" s="24" t="str">
        <f>VLOOKUP(W16,Tabela!$H$2:$L$21,5,0)</f>
        <v>L8:L27</v>
      </c>
      <c r="D16" s="24" t="e">
        <f>VLOOKUP(Q16,Tabela!$B$2:$C$4,2,0)&amp;"-A"</f>
        <v>#N/A</v>
      </c>
      <c r="E16" s="18">
        <f t="shared" si="4"/>
        <v>0</v>
      </c>
      <c r="F16" s="24" t="e">
        <f>VLOOKUP(Q16,Tabela!$B$2:$C$4,2,0)</f>
        <v>#N/A</v>
      </c>
      <c r="G16" s="31">
        <f t="shared" si="1"/>
        <v>0</v>
      </c>
      <c r="H16" s="15"/>
      <c r="I16" s="40">
        <v>2</v>
      </c>
      <c r="J16" s="305"/>
      <c r="K16" s="282"/>
      <c r="L16" s="281"/>
      <c r="M16" s="282"/>
      <c r="N16" s="37"/>
      <c r="O16" s="37"/>
      <c r="P16" s="38"/>
      <c r="Q16" s="306"/>
      <c r="R16" s="282"/>
      <c r="S16" s="41"/>
      <c r="T16" s="15"/>
      <c r="U16" s="15">
        <f t="shared" si="2"/>
        <v>0</v>
      </c>
      <c r="V16" s="15"/>
      <c r="W16" s="15">
        <v>3</v>
      </c>
      <c r="X16" s="15"/>
      <c r="Y16" s="15">
        <f t="shared" si="3"/>
        <v>0</v>
      </c>
      <c r="Z16" s="15">
        <f t="shared" si="5"/>
        <v>0</v>
      </c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</row>
    <row r="17" spans="1:38" ht="19.5" hidden="1" customHeight="1" x14ac:dyDescent="0.25">
      <c r="A17" s="15"/>
      <c r="B17" s="30">
        <f t="shared" si="0"/>
        <v>1</v>
      </c>
      <c r="C17" s="24" t="str">
        <f>VLOOKUP(W17,Tabela!$H$2:$L$21,5,0)</f>
        <v>M8:M27</v>
      </c>
      <c r="D17" s="24" t="e">
        <f>VLOOKUP(Q17,Tabela!$B$2:$C$4,2,0)&amp;"-A"</f>
        <v>#N/A</v>
      </c>
      <c r="E17" s="18">
        <f t="shared" si="4"/>
        <v>0</v>
      </c>
      <c r="F17" s="24" t="e">
        <f>VLOOKUP(Q17,Tabela!$B$2:$C$4,2,0)</f>
        <v>#N/A</v>
      </c>
      <c r="G17" s="31">
        <f t="shared" si="1"/>
        <v>0</v>
      </c>
      <c r="H17" s="15"/>
      <c r="I17" s="42">
        <v>3</v>
      </c>
      <c r="J17" s="305"/>
      <c r="K17" s="282"/>
      <c r="L17" s="281"/>
      <c r="M17" s="282"/>
      <c r="N17" s="37"/>
      <c r="O17" s="37"/>
      <c r="P17" s="38"/>
      <c r="Q17" s="306"/>
      <c r="R17" s="282"/>
      <c r="S17" s="37"/>
      <c r="T17" s="15"/>
      <c r="U17" s="15">
        <f t="shared" si="2"/>
        <v>0</v>
      </c>
      <c r="V17" s="15"/>
      <c r="W17" s="15">
        <v>4</v>
      </c>
      <c r="X17" s="15"/>
      <c r="Y17" s="15">
        <f t="shared" si="3"/>
        <v>0</v>
      </c>
      <c r="Z17" s="15">
        <f t="shared" si="5"/>
        <v>0</v>
      </c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</row>
    <row r="18" spans="1:38" ht="19.5" hidden="1" customHeight="1" x14ac:dyDescent="0.25">
      <c r="A18" s="15"/>
      <c r="B18" s="30">
        <f t="shared" si="0"/>
        <v>1</v>
      </c>
      <c r="C18" s="24" t="str">
        <f>VLOOKUP(W18,Tabela!$H$2:$L$21,5,0)</f>
        <v>N8:N27</v>
      </c>
      <c r="D18" s="24" t="e">
        <f>VLOOKUP(Q18,Tabela!$B$2:$C$4,2,0)&amp;"-A"</f>
        <v>#N/A</v>
      </c>
      <c r="E18" s="18">
        <f t="shared" si="4"/>
        <v>0</v>
      </c>
      <c r="F18" s="24" t="e">
        <f>VLOOKUP(Q18,Tabela!$B$2:$C$4,2,0)</f>
        <v>#N/A</v>
      </c>
      <c r="G18" s="31">
        <f t="shared" si="1"/>
        <v>0</v>
      </c>
      <c r="H18" s="15"/>
      <c r="I18" s="42">
        <v>4</v>
      </c>
      <c r="J18" s="305"/>
      <c r="K18" s="282"/>
      <c r="L18" s="281"/>
      <c r="M18" s="282"/>
      <c r="N18" s="37"/>
      <c r="O18" s="37"/>
      <c r="P18" s="38"/>
      <c r="Q18" s="306"/>
      <c r="R18" s="282"/>
      <c r="S18" s="37"/>
      <c r="T18" s="15"/>
      <c r="U18" s="15">
        <f t="shared" si="2"/>
        <v>0</v>
      </c>
      <c r="V18" s="15"/>
      <c r="W18" s="15">
        <v>5</v>
      </c>
      <c r="X18" s="15"/>
      <c r="Y18" s="15">
        <f t="shared" si="3"/>
        <v>0</v>
      </c>
      <c r="Z18" s="15">
        <f t="shared" si="5"/>
        <v>0</v>
      </c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</row>
    <row r="19" spans="1:38" ht="19.5" hidden="1" customHeight="1" x14ac:dyDescent="0.25">
      <c r="A19" s="15"/>
      <c r="B19" s="30">
        <f t="shared" si="0"/>
        <v>1</v>
      </c>
      <c r="C19" s="24" t="str">
        <f>VLOOKUP(W19,Tabela!$H$2:$L$21,5,0)</f>
        <v>O8:O27</v>
      </c>
      <c r="D19" s="24" t="e">
        <f>VLOOKUP(Q19,Tabela!$B$2:$C$4,2,0)&amp;"-A"</f>
        <v>#N/A</v>
      </c>
      <c r="E19" s="18">
        <f t="shared" si="4"/>
        <v>0</v>
      </c>
      <c r="F19" s="24" t="e">
        <f>VLOOKUP(Q19,Tabela!$B$2:$C$4,2,0)</f>
        <v>#N/A</v>
      </c>
      <c r="G19" s="31">
        <f t="shared" si="1"/>
        <v>0</v>
      </c>
      <c r="H19" s="15"/>
      <c r="I19" s="42">
        <v>5</v>
      </c>
      <c r="J19" s="305" t="s">
        <v>38</v>
      </c>
      <c r="K19" s="282"/>
      <c r="L19" s="281"/>
      <c r="M19" s="282"/>
      <c r="N19" s="37"/>
      <c r="O19" s="37"/>
      <c r="P19" s="38"/>
      <c r="Q19" s="306"/>
      <c r="R19" s="282"/>
      <c r="S19" s="37"/>
      <c r="T19" s="15"/>
      <c r="U19" s="15">
        <f t="shared" si="2"/>
        <v>0</v>
      </c>
      <c r="V19" s="15"/>
      <c r="W19" s="15">
        <v>6</v>
      </c>
      <c r="X19" s="15"/>
      <c r="Y19" s="15">
        <f t="shared" si="3"/>
        <v>0</v>
      </c>
      <c r="Z19" s="15">
        <f t="shared" si="5"/>
        <v>0</v>
      </c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</row>
    <row r="20" spans="1:38" ht="19.5" hidden="1" customHeight="1" x14ac:dyDescent="0.25">
      <c r="A20" s="15"/>
      <c r="B20" s="30">
        <f t="shared" si="0"/>
        <v>1</v>
      </c>
      <c r="C20" s="24" t="str">
        <f>VLOOKUP(W20,Tabela!$H$2:$L$21,5,0)</f>
        <v>P8:P27</v>
      </c>
      <c r="D20" s="24" t="e">
        <f>VLOOKUP(Q20,Tabela!$B$2:$C$4,2,0)&amp;"-A"</f>
        <v>#N/A</v>
      </c>
      <c r="E20" s="18">
        <f t="shared" si="4"/>
        <v>0</v>
      </c>
      <c r="F20" s="24" t="e">
        <f>VLOOKUP(Q20,Tabela!$B$2:$C$4,2,0)</f>
        <v>#N/A</v>
      </c>
      <c r="G20" s="31">
        <f t="shared" si="1"/>
        <v>0</v>
      </c>
      <c r="H20" s="15"/>
      <c r="I20" s="42">
        <v>6</v>
      </c>
      <c r="J20" s="305"/>
      <c r="K20" s="282"/>
      <c r="L20" s="281"/>
      <c r="M20" s="282"/>
      <c r="N20" s="37"/>
      <c r="O20" s="37"/>
      <c r="P20" s="38"/>
      <c r="Q20" s="306"/>
      <c r="R20" s="282"/>
      <c r="S20" s="37"/>
      <c r="T20" s="15"/>
      <c r="U20" s="15">
        <f t="shared" si="2"/>
        <v>0</v>
      </c>
      <c r="V20" s="15"/>
      <c r="W20" s="15">
        <v>7</v>
      </c>
      <c r="X20" s="15"/>
      <c r="Y20" s="15">
        <f t="shared" si="3"/>
        <v>0</v>
      </c>
      <c r="Z20" s="15">
        <f t="shared" si="5"/>
        <v>0</v>
      </c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</row>
    <row r="21" spans="1:38" ht="19.5" hidden="1" customHeight="1" x14ac:dyDescent="0.25">
      <c r="A21" s="15"/>
      <c r="B21" s="30">
        <f t="shared" si="0"/>
        <v>1</v>
      </c>
      <c r="C21" s="24" t="str">
        <f>VLOOKUP(W21,Tabela!$H$2:$L$21,5,0)</f>
        <v>Q8:Q27</v>
      </c>
      <c r="D21" s="24" t="e">
        <f>VLOOKUP(Q21,Tabela!$B$2:$C$4,2,0)&amp;"-A"</f>
        <v>#N/A</v>
      </c>
      <c r="E21" s="18">
        <f t="shared" si="4"/>
        <v>0</v>
      </c>
      <c r="F21" s="24" t="e">
        <f>VLOOKUP(Q21,Tabela!$B$2:$C$4,2,0)</f>
        <v>#N/A</v>
      </c>
      <c r="G21" s="31">
        <f t="shared" si="1"/>
        <v>0</v>
      </c>
      <c r="H21" s="15"/>
      <c r="I21" s="42">
        <v>7</v>
      </c>
      <c r="J21" s="305"/>
      <c r="K21" s="282"/>
      <c r="L21" s="281"/>
      <c r="M21" s="282"/>
      <c r="N21" s="37"/>
      <c r="O21" s="37"/>
      <c r="P21" s="38"/>
      <c r="Q21" s="306"/>
      <c r="R21" s="282"/>
      <c r="S21" s="37"/>
      <c r="T21" s="15"/>
      <c r="U21" s="15">
        <f t="shared" si="2"/>
        <v>0</v>
      </c>
      <c r="V21" s="15"/>
      <c r="W21" s="15">
        <v>8</v>
      </c>
      <c r="X21" s="15"/>
      <c r="Y21" s="15">
        <f t="shared" si="3"/>
        <v>0</v>
      </c>
      <c r="Z21" s="15">
        <f t="shared" si="5"/>
        <v>0</v>
      </c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</row>
    <row r="22" spans="1:38" ht="19.5" hidden="1" customHeight="1" x14ac:dyDescent="0.25">
      <c r="A22" s="15"/>
      <c r="B22" s="30">
        <f t="shared" si="0"/>
        <v>1</v>
      </c>
      <c r="C22" s="24" t="str">
        <f>VLOOKUP(W22,Tabela!$H$2:$L$21,5,0)</f>
        <v>R8:R27</v>
      </c>
      <c r="D22" s="24" t="e">
        <f>VLOOKUP(Q22,Tabela!$B$2:$C$4,2,0)&amp;"-A"</f>
        <v>#N/A</v>
      </c>
      <c r="E22" s="18">
        <f t="shared" si="4"/>
        <v>0</v>
      </c>
      <c r="F22" s="24" t="e">
        <f>VLOOKUP(Q22,Tabela!$B$2:$C$4,2,0)</f>
        <v>#N/A</v>
      </c>
      <c r="G22" s="31">
        <f t="shared" si="1"/>
        <v>0</v>
      </c>
      <c r="H22" s="15"/>
      <c r="I22" s="42">
        <v>8</v>
      </c>
      <c r="J22" s="305"/>
      <c r="K22" s="282"/>
      <c r="L22" s="281"/>
      <c r="M22" s="282"/>
      <c r="N22" s="37"/>
      <c r="O22" s="37"/>
      <c r="P22" s="38"/>
      <c r="Q22" s="306"/>
      <c r="R22" s="282"/>
      <c r="S22" s="37"/>
      <c r="T22" s="15"/>
      <c r="U22" s="15">
        <f t="shared" si="2"/>
        <v>0</v>
      </c>
      <c r="V22" s="15"/>
      <c r="W22" s="15">
        <v>9</v>
      </c>
      <c r="X22" s="15"/>
      <c r="Y22" s="15">
        <f t="shared" si="3"/>
        <v>0</v>
      </c>
      <c r="Z22" s="15">
        <f t="shared" si="5"/>
        <v>0</v>
      </c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</row>
    <row r="23" spans="1:38" ht="19.5" hidden="1" customHeight="1" x14ac:dyDescent="0.25">
      <c r="A23" s="15"/>
      <c r="B23" s="30">
        <f t="shared" si="0"/>
        <v>1</v>
      </c>
      <c r="C23" s="24" t="str">
        <f>VLOOKUP(W23,Tabela!$H$2:$L$21,5,0)</f>
        <v>S8:S27</v>
      </c>
      <c r="D23" s="24" t="e">
        <f>VLOOKUP(Q23,Tabela!$B$2:$C$4,2,0)&amp;"-A"</f>
        <v>#N/A</v>
      </c>
      <c r="E23" s="18">
        <f t="shared" si="4"/>
        <v>0</v>
      </c>
      <c r="F23" s="24" t="e">
        <f>VLOOKUP(Q23,Tabela!$B$2:$C$4,2,0)</f>
        <v>#N/A</v>
      </c>
      <c r="G23" s="31">
        <f t="shared" si="1"/>
        <v>0</v>
      </c>
      <c r="H23" s="15"/>
      <c r="I23" s="42">
        <v>9</v>
      </c>
      <c r="J23" s="305"/>
      <c r="K23" s="282"/>
      <c r="L23" s="281"/>
      <c r="M23" s="282"/>
      <c r="N23" s="37"/>
      <c r="O23" s="37"/>
      <c r="P23" s="38"/>
      <c r="Q23" s="306"/>
      <c r="R23" s="282"/>
      <c r="S23" s="37"/>
      <c r="T23" s="15"/>
      <c r="U23" s="15">
        <f t="shared" si="2"/>
        <v>0</v>
      </c>
      <c r="V23" s="15"/>
      <c r="W23" s="15">
        <v>10</v>
      </c>
      <c r="X23" s="15"/>
      <c r="Y23" s="15">
        <f t="shared" si="3"/>
        <v>0</v>
      </c>
      <c r="Z23" s="15">
        <f t="shared" si="5"/>
        <v>0</v>
      </c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</row>
    <row r="24" spans="1:38" ht="19.5" hidden="1" customHeight="1" x14ac:dyDescent="0.25">
      <c r="A24" s="15"/>
      <c r="B24" s="30">
        <f t="shared" si="0"/>
        <v>1</v>
      </c>
      <c r="C24" s="24" t="str">
        <f>VLOOKUP(W24,Tabela!$H$2:$L$21,5,0)</f>
        <v>T8:T27</v>
      </c>
      <c r="D24" s="24" t="e">
        <f>VLOOKUP(Q24,Tabela!$B$2:$C$4,2,0)&amp;"-A"</f>
        <v>#N/A</v>
      </c>
      <c r="E24" s="18">
        <f t="shared" si="4"/>
        <v>0</v>
      </c>
      <c r="F24" s="24" t="e">
        <f>VLOOKUP(Q24,Tabela!$B$2:$C$4,2,0)</f>
        <v>#N/A</v>
      </c>
      <c r="G24" s="31">
        <f t="shared" si="1"/>
        <v>0</v>
      </c>
      <c r="H24" s="15"/>
      <c r="I24" s="42">
        <v>10</v>
      </c>
      <c r="J24" s="305"/>
      <c r="K24" s="282"/>
      <c r="L24" s="281"/>
      <c r="M24" s="282"/>
      <c r="N24" s="37"/>
      <c r="O24" s="37"/>
      <c r="P24" s="38"/>
      <c r="Q24" s="306"/>
      <c r="R24" s="282"/>
      <c r="S24" s="37"/>
      <c r="T24" s="15"/>
      <c r="U24" s="15">
        <f t="shared" si="2"/>
        <v>0</v>
      </c>
      <c r="V24" s="15"/>
      <c r="W24" s="15">
        <v>11</v>
      </c>
      <c r="X24" s="15"/>
      <c r="Y24" s="15">
        <f t="shared" si="3"/>
        <v>0</v>
      </c>
      <c r="Z24" s="15">
        <f t="shared" si="5"/>
        <v>0</v>
      </c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</row>
    <row r="25" spans="1:38" ht="19.5" hidden="1" customHeight="1" x14ac:dyDescent="0.25">
      <c r="A25" s="15"/>
      <c r="B25" s="30">
        <f t="shared" si="0"/>
        <v>1</v>
      </c>
      <c r="C25" s="24" t="str">
        <f>VLOOKUP(W25,Tabela!$H$2:$L$21,5,0)</f>
        <v>U8:U27</v>
      </c>
      <c r="D25" s="24" t="e">
        <f>VLOOKUP(Q25,Tabela!$B$2:$C$4,2,0)&amp;"-A"</f>
        <v>#N/A</v>
      </c>
      <c r="E25" s="18">
        <f t="shared" si="4"/>
        <v>0</v>
      </c>
      <c r="F25" s="24" t="e">
        <f>VLOOKUP(Q25,Tabela!$B$2:$C$4,2,0)</f>
        <v>#N/A</v>
      </c>
      <c r="G25" s="31">
        <f t="shared" si="1"/>
        <v>0</v>
      </c>
      <c r="H25" s="15"/>
      <c r="I25" s="42">
        <v>11</v>
      </c>
      <c r="J25" s="305"/>
      <c r="K25" s="282"/>
      <c r="L25" s="281"/>
      <c r="M25" s="282"/>
      <c r="N25" s="37"/>
      <c r="O25" s="37"/>
      <c r="P25" s="38"/>
      <c r="Q25" s="306"/>
      <c r="R25" s="282"/>
      <c r="S25" s="37"/>
      <c r="T25" s="15"/>
      <c r="U25" s="15">
        <f t="shared" si="2"/>
        <v>0</v>
      </c>
      <c r="V25" s="15"/>
      <c r="W25" s="15">
        <v>12</v>
      </c>
      <c r="X25" s="15"/>
      <c r="Y25" s="15">
        <f t="shared" si="3"/>
        <v>0</v>
      </c>
      <c r="Z25" s="15">
        <f t="shared" si="5"/>
        <v>0</v>
      </c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</row>
    <row r="26" spans="1:38" ht="19.5" hidden="1" customHeight="1" x14ac:dyDescent="0.25">
      <c r="A26" s="15"/>
      <c r="B26" s="30">
        <f t="shared" si="0"/>
        <v>1</v>
      </c>
      <c r="C26" s="24" t="str">
        <f>VLOOKUP(W26,Tabela!$H$2:$L$21,5,0)</f>
        <v>V8:V27</v>
      </c>
      <c r="D26" s="24" t="e">
        <f>VLOOKUP(Q26,Tabela!$B$2:$C$4,2,0)&amp;"-A"</f>
        <v>#N/A</v>
      </c>
      <c r="E26" s="18">
        <f t="shared" si="4"/>
        <v>0</v>
      </c>
      <c r="F26" s="24" t="e">
        <f>VLOOKUP(Q26,Tabela!$B$2:$C$4,2,0)</f>
        <v>#N/A</v>
      </c>
      <c r="G26" s="31">
        <f t="shared" si="1"/>
        <v>0</v>
      </c>
      <c r="H26" s="15"/>
      <c r="I26" s="42">
        <v>12</v>
      </c>
      <c r="J26" s="305"/>
      <c r="K26" s="282"/>
      <c r="L26" s="281"/>
      <c r="M26" s="282"/>
      <c r="N26" s="37"/>
      <c r="O26" s="37"/>
      <c r="P26" s="38"/>
      <c r="Q26" s="306"/>
      <c r="R26" s="282"/>
      <c r="S26" s="37"/>
      <c r="T26" s="15"/>
      <c r="U26" s="15">
        <f t="shared" si="2"/>
        <v>0</v>
      </c>
      <c r="V26" s="15"/>
      <c r="W26" s="15">
        <v>13</v>
      </c>
      <c r="X26" s="15"/>
      <c r="Y26" s="15">
        <f t="shared" si="3"/>
        <v>0</v>
      </c>
      <c r="Z26" s="15">
        <f t="shared" si="5"/>
        <v>0</v>
      </c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</row>
    <row r="27" spans="1:38" ht="19.5" hidden="1" customHeight="1" x14ac:dyDescent="0.25">
      <c r="A27" s="15"/>
      <c r="B27" s="30">
        <f t="shared" si="0"/>
        <v>1</v>
      </c>
      <c r="C27" s="24" t="str">
        <f>VLOOKUP(W27,Tabela!$H$2:$L$21,5,0)</f>
        <v>W8:W27</v>
      </c>
      <c r="D27" s="24" t="e">
        <f>VLOOKUP(Q27,Tabela!$B$2:$C$4,2,0)&amp;"-A"</f>
        <v>#N/A</v>
      </c>
      <c r="E27" s="18">
        <f t="shared" si="4"/>
        <v>0</v>
      </c>
      <c r="F27" s="24" t="e">
        <f>VLOOKUP(Q27,Tabela!$B$2:$C$4,2,0)</f>
        <v>#N/A</v>
      </c>
      <c r="G27" s="31">
        <f t="shared" si="1"/>
        <v>0</v>
      </c>
      <c r="H27" s="15"/>
      <c r="I27" s="42">
        <v>13</v>
      </c>
      <c r="J27" s="305"/>
      <c r="K27" s="282"/>
      <c r="L27" s="281"/>
      <c r="M27" s="282"/>
      <c r="N27" s="37"/>
      <c r="O27" s="37"/>
      <c r="P27" s="38"/>
      <c r="Q27" s="306"/>
      <c r="R27" s="282"/>
      <c r="S27" s="37"/>
      <c r="T27" s="15"/>
      <c r="U27" s="15">
        <f t="shared" si="2"/>
        <v>0</v>
      </c>
      <c r="V27" s="15"/>
      <c r="W27" s="15">
        <v>14</v>
      </c>
      <c r="X27" s="15"/>
      <c r="Y27" s="15">
        <f t="shared" si="3"/>
        <v>0</v>
      </c>
      <c r="Z27" s="15">
        <f t="shared" si="5"/>
        <v>0</v>
      </c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</row>
    <row r="28" spans="1:38" ht="19.5" hidden="1" customHeight="1" x14ac:dyDescent="0.25">
      <c r="A28" s="15"/>
      <c r="B28" s="30">
        <f t="shared" si="0"/>
        <v>1</v>
      </c>
      <c r="C28" s="24" t="str">
        <f>VLOOKUP(W28,Tabela!$H$2:$L$21,5,0)</f>
        <v>X8:X27</v>
      </c>
      <c r="D28" s="24" t="e">
        <f>VLOOKUP(Q28,Tabela!$B$2:$C$4,2,0)&amp;"-A"</f>
        <v>#N/A</v>
      </c>
      <c r="E28" s="18">
        <f t="shared" si="4"/>
        <v>0</v>
      </c>
      <c r="F28" s="24" t="e">
        <f>VLOOKUP(Q28,Tabela!$B$2:$C$4,2,0)</f>
        <v>#N/A</v>
      </c>
      <c r="G28" s="31">
        <f t="shared" si="1"/>
        <v>0</v>
      </c>
      <c r="H28" s="15"/>
      <c r="I28" s="42">
        <v>14</v>
      </c>
      <c r="J28" s="305"/>
      <c r="K28" s="282"/>
      <c r="L28" s="281"/>
      <c r="M28" s="282"/>
      <c r="N28" s="37"/>
      <c r="O28" s="37"/>
      <c r="P28" s="38"/>
      <c r="Q28" s="306"/>
      <c r="R28" s="282"/>
      <c r="S28" s="37"/>
      <c r="T28" s="15"/>
      <c r="U28" s="15">
        <f t="shared" si="2"/>
        <v>0</v>
      </c>
      <c r="V28" s="15"/>
      <c r="W28" s="15">
        <v>15</v>
      </c>
      <c r="X28" s="15"/>
      <c r="Y28" s="15">
        <f t="shared" si="3"/>
        <v>0</v>
      </c>
      <c r="Z28" s="15">
        <f t="shared" si="5"/>
        <v>0</v>
      </c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</row>
    <row r="29" spans="1:38" ht="19.5" hidden="1" customHeight="1" x14ac:dyDescent="0.25">
      <c r="A29" s="15"/>
      <c r="B29" s="30">
        <f t="shared" si="0"/>
        <v>1</v>
      </c>
      <c r="C29" s="24" t="str">
        <f>VLOOKUP(W29,Tabela!$H$2:$L$21,5,0)</f>
        <v>Y8:Y27</v>
      </c>
      <c r="D29" s="24" t="e">
        <f>VLOOKUP(Q29,Tabela!$B$2:$C$4,2,0)&amp;"-A"</f>
        <v>#N/A</v>
      </c>
      <c r="E29" s="18">
        <f t="shared" si="4"/>
        <v>0</v>
      </c>
      <c r="F29" s="24" t="e">
        <f>VLOOKUP(Q29,Tabela!$B$2:$C$4,2,0)</f>
        <v>#N/A</v>
      </c>
      <c r="G29" s="31">
        <f t="shared" si="1"/>
        <v>0</v>
      </c>
      <c r="H29" s="15"/>
      <c r="I29" s="42">
        <v>15</v>
      </c>
      <c r="J29" s="305"/>
      <c r="K29" s="282"/>
      <c r="L29" s="281"/>
      <c r="M29" s="282"/>
      <c r="N29" s="37"/>
      <c r="O29" s="37"/>
      <c r="P29" s="38"/>
      <c r="Q29" s="306"/>
      <c r="R29" s="282"/>
      <c r="S29" s="37"/>
      <c r="T29" s="15"/>
      <c r="U29" s="15">
        <f t="shared" si="2"/>
        <v>0</v>
      </c>
      <c r="V29" s="15"/>
      <c r="W29" s="15">
        <v>16</v>
      </c>
      <c r="X29" s="15"/>
      <c r="Y29" s="15">
        <f t="shared" si="3"/>
        <v>0</v>
      </c>
      <c r="Z29" s="15">
        <f t="shared" si="5"/>
        <v>0</v>
      </c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</row>
    <row r="30" spans="1:38" ht="19.5" hidden="1" customHeight="1" x14ac:dyDescent="0.25">
      <c r="A30" s="15"/>
      <c r="B30" s="30">
        <f t="shared" si="0"/>
        <v>1</v>
      </c>
      <c r="C30" s="24" t="str">
        <f>VLOOKUP(W30,Tabela!$H$2:$L$21,5,0)</f>
        <v>Z8:Z27</v>
      </c>
      <c r="D30" s="24" t="e">
        <f>VLOOKUP(Q30,Tabela!$B$2:$C$4,2,0)&amp;"-A"</f>
        <v>#N/A</v>
      </c>
      <c r="E30" s="18">
        <f t="shared" si="4"/>
        <v>0</v>
      </c>
      <c r="F30" s="24" t="e">
        <f>VLOOKUP(Q30,Tabela!$B$2:$C$4,2,0)</f>
        <v>#N/A</v>
      </c>
      <c r="G30" s="31">
        <f t="shared" si="1"/>
        <v>0</v>
      </c>
      <c r="H30" s="15"/>
      <c r="I30" s="42">
        <v>16</v>
      </c>
      <c r="J30" s="305"/>
      <c r="K30" s="282"/>
      <c r="L30" s="281"/>
      <c r="M30" s="282"/>
      <c r="N30" s="37"/>
      <c r="O30" s="37"/>
      <c r="P30" s="38"/>
      <c r="Q30" s="306"/>
      <c r="R30" s="282"/>
      <c r="S30" s="37"/>
      <c r="T30" s="15"/>
      <c r="U30" s="15">
        <f t="shared" si="2"/>
        <v>0</v>
      </c>
      <c r="V30" s="15"/>
      <c r="W30" s="15">
        <v>17</v>
      </c>
      <c r="X30" s="15"/>
      <c r="Y30" s="15">
        <f t="shared" si="3"/>
        <v>0</v>
      </c>
      <c r="Z30" s="15">
        <f t="shared" si="5"/>
        <v>0</v>
      </c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</row>
    <row r="31" spans="1:38" ht="19.5" hidden="1" customHeight="1" x14ac:dyDescent="0.25">
      <c r="A31" s="15"/>
      <c r="B31" s="30">
        <f t="shared" si="0"/>
        <v>1</v>
      </c>
      <c r="C31" s="24" t="str">
        <f>VLOOKUP(W31,Tabela!$H$2:$L$21,5,0)</f>
        <v>AA8:AA27</v>
      </c>
      <c r="D31" s="24" t="e">
        <f>VLOOKUP(Q31,Tabela!$B$2:$C$4,2,0)&amp;"-A"</f>
        <v>#N/A</v>
      </c>
      <c r="E31" s="18">
        <f t="shared" si="4"/>
        <v>0</v>
      </c>
      <c r="F31" s="24" t="e">
        <f>VLOOKUP(Q31,Tabela!$B$2:$C$4,2,0)</f>
        <v>#N/A</v>
      </c>
      <c r="G31" s="31">
        <f t="shared" si="1"/>
        <v>0</v>
      </c>
      <c r="H31" s="15"/>
      <c r="I31" s="42">
        <v>17</v>
      </c>
      <c r="J31" s="305"/>
      <c r="K31" s="282"/>
      <c r="L31" s="281"/>
      <c r="M31" s="282"/>
      <c r="N31" s="37"/>
      <c r="O31" s="37"/>
      <c r="P31" s="38"/>
      <c r="Q31" s="306"/>
      <c r="R31" s="282"/>
      <c r="S31" s="37"/>
      <c r="T31" s="15"/>
      <c r="U31" s="15">
        <f t="shared" si="2"/>
        <v>0</v>
      </c>
      <c r="V31" s="15"/>
      <c r="W31" s="15">
        <v>18</v>
      </c>
      <c r="X31" s="15"/>
      <c r="Y31" s="15">
        <f t="shared" si="3"/>
        <v>0</v>
      </c>
      <c r="Z31" s="15">
        <f t="shared" si="5"/>
        <v>0</v>
      </c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</row>
    <row r="32" spans="1:38" ht="19.5" hidden="1" customHeight="1" x14ac:dyDescent="0.25">
      <c r="A32" s="15"/>
      <c r="B32" s="30">
        <f t="shared" si="0"/>
        <v>1</v>
      </c>
      <c r="C32" s="24" t="str">
        <f>VLOOKUP(W32,Tabela!$H$2:$L$21,5,0)</f>
        <v>AB8:AB27</v>
      </c>
      <c r="D32" s="24" t="e">
        <f>VLOOKUP(Q32,Tabela!$B$2:$C$4,2,0)&amp;"-A"</f>
        <v>#N/A</v>
      </c>
      <c r="E32" s="18">
        <f t="shared" si="4"/>
        <v>0</v>
      </c>
      <c r="F32" s="24" t="e">
        <f>VLOOKUP(Q32,Tabela!$B$2:$C$4,2,0)</f>
        <v>#N/A</v>
      </c>
      <c r="G32" s="31">
        <f t="shared" si="1"/>
        <v>0</v>
      </c>
      <c r="H32" s="15"/>
      <c r="I32" s="42">
        <v>18</v>
      </c>
      <c r="J32" s="305"/>
      <c r="K32" s="282"/>
      <c r="L32" s="281"/>
      <c r="M32" s="282"/>
      <c r="N32" s="37"/>
      <c r="O32" s="37"/>
      <c r="P32" s="38"/>
      <c r="Q32" s="306"/>
      <c r="R32" s="282"/>
      <c r="S32" s="37"/>
      <c r="T32" s="15"/>
      <c r="U32" s="15">
        <f t="shared" si="2"/>
        <v>0</v>
      </c>
      <c r="V32" s="15"/>
      <c r="W32" s="15">
        <v>19</v>
      </c>
      <c r="X32" s="15"/>
      <c r="Y32" s="15">
        <f t="shared" si="3"/>
        <v>0</v>
      </c>
      <c r="Z32" s="15">
        <f t="shared" si="5"/>
        <v>0</v>
      </c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</row>
    <row r="33" spans="1:38" ht="19.5" hidden="1" customHeight="1" x14ac:dyDescent="0.25">
      <c r="A33" s="15"/>
      <c r="B33" s="30">
        <f t="shared" si="0"/>
        <v>1</v>
      </c>
      <c r="C33" s="24" t="str">
        <f>VLOOKUP(W33,Tabela!$H$2:$L$21,5,0)</f>
        <v>AC8:AC27</v>
      </c>
      <c r="D33" s="24" t="e">
        <f>VLOOKUP(Q33,Tabela!$B$2:$C$4,2,0)&amp;"-A"</f>
        <v>#N/A</v>
      </c>
      <c r="E33" s="18">
        <f t="shared" si="4"/>
        <v>0</v>
      </c>
      <c r="F33" s="24" t="e">
        <f>VLOOKUP(Q33,Tabela!$B$2:$C$4,2,0)</f>
        <v>#N/A</v>
      </c>
      <c r="G33" s="31">
        <f t="shared" si="1"/>
        <v>0</v>
      </c>
      <c r="H33" s="15"/>
      <c r="I33" s="42">
        <v>19</v>
      </c>
      <c r="J33" s="305"/>
      <c r="K33" s="282"/>
      <c r="L33" s="281"/>
      <c r="M33" s="282"/>
      <c r="N33" s="37"/>
      <c r="O33" s="37"/>
      <c r="P33" s="38"/>
      <c r="Q33" s="306"/>
      <c r="R33" s="282"/>
      <c r="S33" s="37"/>
      <c r="T33" s="15"/>
      <c r="U33" s="15">
        <f t="shared" si="2"/>
        <v>0</v>
      </c>
      <c r="V33" s="15"/>
      <c r="W33" s="15">
        <v>20</v>
      </c>
      <c r="X33" s="15"/>
      <c r="Y33" s="15">
        <f t="shared" si="3"/>
        <v>0</v>
      </c>
      <c r="Z33" s="15">
        <f t="shared" si="5"/>
        <v>0</v>
      </c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</row>
    <row r="34" spans="1:38" ht="19.5" customHeight="1" x14ac:dyDescent="0.25">
      <c r="A34" s="15"/>
      <c r="B34" s="43">
        <f>SUM(B14:B33)</f>
        <v>20</v>
      </c>
      <c r="C34" s="15"/>
      <c r="D34" s="15"/>
      <c r="E34" s="18">
        <v>1</v>
      </c>
      <c r="F34" s="15"/>
      <c r="G34" s="15">
        <f t="shared" si="1"/>
        <v>0</v>
      </c>
      <c r="H34" s="15"/>
      <c r="I34" s="23"/>
      <c r="J34" s="23"/>
      <c r="K34" s="23"/>
      <c r="L34" s="23"/>
      <c r="M34" s="23"/>
      <c r="N34" s="23"/>
      <c r="O34" s="23"/>
      <c r="P34" s="23"/>
      <c r="Q34" s="23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</row>
    <row r="35" spans="1:38" ht="19.5" hidden="1" customHeight="1" x14ac:dyDescent="0.25">
      <c r="A35" s="15"/>
      <c r="B35" s="15"/>
      <c r="C35" s="15"/>
      <c r="D35" s="15"/>
      <c r="E35" s="18">
        <v>1</v>
      </c>
      <c r="F35" s="15"/>
      <c r="G35" s="15"/>
      <c r="H35" s="15"/>
      <c r="I35" s="288" t="s">
        <v>39</v>
      </c>
      <c r="J35" s="289"/>
      <c r="K35" s="289"/>
      <c r="L35" s="289"/>
      <c r="M35" s="289"/>
      <c r="N35" s="289"/>
      <c r="O35" s="289"/>
      <c r="P35" s="289"/>
      <c r="Q35" s="289"/>
      <c r="R35" s="289"/>
      <c r="S35" s="290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</row>
    <row r="36" spans="1:38" ht="19.5" hidden="1" customHeight="1" x14ac:dyDescent="0.25">
      <c r="A36" s="15"/>
      <c r="B36" s="15"/>
      <c r="C36" s="15"/>
      <c r="D36" s="15"/>
      <c r="E36" s="18">
        <v>1</v>
      </c>
      <c r="F36" s="15"/>
      <c r="G36" s="15"/>
      <c r="H36" s="15"/>
      <c r="I36" s="23"/>
      <c r="J36" s="23"/>
      <c r="K36" s="23"/>
      <c r="L36" s="23"/>
      <c r="M36" s="44"/>
      <c r="N36" s="44"/>
      <c r="O36" s="23"/>
      <c r="P36" s="23"/>
      <c r="Q36" s="23"/>
      <c r="R36" s="45"/>
      <c r="S36" s="4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</row>
    <row r="37" spans="1:38" ht="19.5" hidden="1" customHeight="1" x14ac:dyDescent="0.25">
      <c r="A37" s="15"/>
      <c r="B37" s="15"/>
      <c r="C37" s="15"/>
      <c r="D37" s="15"/>
      <c r="E37" s="18">
        <v>1</v>
      </c>
      <c r="F37" s="15"/>
      <c r="G37" s="15"/>
      <c r="H37" s="15"/>
      <c r="I37" s="285" t="s">
        <v>40</v>
      </c>
      <c r="J37" s="282"/>
      <c r="K37" s="45"/>
      <c r="L37" s="45"/>
      <c r="M37" s="45"/>
      <c r="N37" s="45"/>
      <c r="O37" s="45"/>
      <c r="P37" s="45"/>
      <c r="Q37" s="22"/>
      <c r="R37" s="45"/>
      <c r="S37" s="4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</row>
    <row r="38" spans="1:38" ht="19.5" hidden="1" customHeight="1" x14ac:dyDescent="0.25">
      <c r="A38" s="15"/>
      <c r="B38" s="15"/>
      <c r="C38" s="15"/>
      <c r="D38" s="15" t="s">
        <v>41</v>
      </c>
      <c r="E38" s="18">
        <v>1</v>
      </c>
      <c r="F38" s="15"/>
      <c r="G38" s="15"/>
      <c r="H38" s="15"/>
      <c r="I38" s="281"/>
      <c r="J38" s="282"/>
      <c r="K38" s="45"/>
      <c r="L38" s="45"/>
      <c r="M38" s="45"/>
      <c r="N38" s="45"/>
      <c r="O38" s="45"/>
      <c r="P38" s="45"/>
      <c r="Q38" s="22"/>
      <c r="R38" s="45"/>
      <c r="S38" s="4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</row>
    <row r="39" spans="1:38" ht="19.5" hidden="1" customHeight="1" x14ac:dyDescent="0.25">
      <c r="A39" s="15"/>
      <c r="B39" s="15"/>
      <c r="C39" s="15"/>
      <c r="D39" s="29">
        <f>LEN(TRIM(I69))</f>
        <v>0</v>
      </c>
      <c r="E39" s="18">
        <v>1</v>
      </c>
      <c r="F39" s="15"/>
      <c r="G39" s="15"/>
      <c r="H39" s="1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</row>
    <row r="40" spans="1:38" ht="19.5" hidden="1" customHeight="1" x14ac:dyDescent="0.2">
      <c r="A40" s="15"/>
      <c r="B40" s="15"/>
      <c r="C40" s="15"/>
      <c r="D40" s="15"/>
      <c r="E40" s="46">
        <v>0</v>
      </c>
      <c r="F40" s="15"/>
      <c r="G40" s="15"/>
      <c r="H40" s="1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</row>
    <row r="41" spans="1:38" ht="19.5" hidden="1" customHeight="1" x14ac:dyDescent="0.25">
      <c r="A41" s="15"/>
      <c r="B41" s="15"/>
      <c r="C41" s="15"/>
      <c r="D41" s="15"/>
      <c r="E41" s="18">
        <v>0</v>
      </c>
      <c r="F41" s="15"/>
      <c r="G41" s="15"/>
      <c r="H41" s="1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</row>
    <row r="42" spans="1:38" ht="19.5" hidden="1" customHeight="1" x14ac:dyDescent="0.25">
      <c r="A42" s="15"/>
      <c r="B42" s="15"/>
      <c r="C42" s="15"/>
      <c r="D42" s="15" t="s">
        <v>42</v>
      </c>
      <c r="E42" s="18">
        <v>0</v>
      </c>
      <c r="F42" s="15"/>
      <c r="G42" s="15"/>
      <c r="H42" s="15"/>
      <c r="I42" s="23"/>
      <c r="J42" s="23"/>
      <c r="K42" s="23"/>
      <c r="L42" s="23"/>
      <c r="M42" s="23"/>
      <c r="N42" s="23"/>
      <c r="O42" s="23"/>
      <c r="P42" s="23"/>
      <c r="Q42" s="23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</row>
    <row r="43" spans="1:38" ht="19.5" customHeight="1" x14ac:dyDescent="0.25">
      <c r="A43" s="15"/>
      <c r="B43" s="15"/>
      <c r="C43" s="15"/>
      <c r="D43" s="47">
        <f>SUM(Q47:R66)</f>
        <v>0</v>
      </c>
      <c r="E43" s="18">
        <v>1</v>
      </c>
      <c r="F43" s="15"/>
      <c r="G43" s="15"/>
      <c r="H43" s="15"/>
      <c r="I43" s="288" t="s">
        <v>43</v>
      </c>
      <c r="J43" s="289"/>
      <c r="K43" s="289"/>
      <c r="L43" s="289"/>
      <c r="M43" s="289"/>
      <c r="N43" s="289"/>
      <c r="O43" s="289"/>
      <c r="P43" s="289"/>
      <c r="Q43" s="289"/>
      <c r="R43" s="289"/>
      <c r="S43" s="290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</row>
    <row r="44" spans="1:38" ht="19.5" customHeight="1" x14ac:dyDescent="0.25">
      <c r="A44" s="15"/>
      <c r="B44" s="15"/>
      <c r="C44" s="15"/>
      <c r="D44" s="15" t="s">
        <v>44</v>
      </c>
      <c r="E44" s="18">
        <v>1</v>
      </c>
      <c r="F44" s="15"/>
      <c r="G44" s="15"/>
      <c r="H44" s="15"/>
      <c r="I44" s="23"/>
      <c r="J44" s="23"/>
      <c r="K44" s="23"/>
      <c r="L44" s="23"/>
      <c r="M44" s="23"/>
      <c r="N44" s="23"/>
      <c r="O44" s="23"/>
      <c r="P44" s="23"/>
      <c r="Q44" s="23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</row>
    <row r="45" spans="1:38" ht="19.5" customHeight="1" x14ac:dyDescent="0.25">
      <c r="A45" s="15"/>
      <c r="B45" s="15"/>
      <c r="C45" s="15"/>
      <c r="D45" s="29">
        <f>LEN(TRIM(O69))</f>
        <v>0</v>
      </c>
      <c r="E45" s="18">
        <v>1</v>
      </c>
      <c r="F45" s="15"/>
      <c r="G45" s="15"/>
      <c r="H45" s="15"/>
      <c r="I45" s="291" t="s">
        <v>45</v>
      </c>
      <c r="J45" s="321" t="s">
        <v>46</v>
      </c>
      <c r="K45" s="269"/>
      <c r="L45" s="285" t="s">
        <v>47</v>
      </c>
      <c r="M45" s="286"/>
      <c r="N45" s="286"/>
      <c r="O45" s="286"/>
      <c r="P45" s="282"/>
      <c r="Q45" s="275" t="s">
        <v>48</v>
      </c>
      <c r="R45" s="276"/>
      <c r="S45" s="279" t="s">
        <v>45</v>
      </c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</row>
    <row r="46" spans="1:38" ht="19.5" customHeight="1" x14ac:dyDescent="0.25">
      <c r="A46" s="15"/>
      <c r="B46" s="15"/>
      <c r="C46" s="15"/>
      <c r="D46" s="15"/>
      <c r="E46" s="18">
        <v>1</v>
      </c>
      <c r="F46" s="15"/>
      <c r="G46" s="15"/>
      <c r="H46" s="15"/>
      <c r="I46" s="292"/>
      <c r="J46" s="270"/>
      <c r="K46" s="272"/>
      <c r="L46" s="48" t="s">
        <v>49</v>
      </c>
      <c r="M46" s="285" t="s">
        <v>50</v>
      </c>
      <c r="N46" s="282"/>
      <c r="O46" s="285" t="s">
        <v>51</v>
      </c>
      <c r="P46" s="282"/>
      <c r="Q46" s="277"/>
      <c r="R46" s="278"/>
      <c r="S46" s="280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</row>
    <row r="47" spans="1:38" ht="19.5" customHeight="1" x14ac:dyDescent="0.25">
      <c r="A47" s="15"/>
      <c r="B47" s="15"/>
      <c r="C47" s="15"/>
      <c r="D47" s="15"/>
      <c r="E47" s="18">
        <v>1</v>
      </c>
      <c r="F47" s="15"/>
      <c r="G47" s="15"/>
      <c r="H47" s="15"/>
      <c r="I47" s="49">
        <v>1</v>
      </c>
      <c r="J47" s="281">
        <v>30000</v>
      </c>
      <c r="K47" s="282"/>
      <c r="L47" s="50">
        <v>60</v>
      </c>
      <c r="M47" s="281"/>
      <c r="N47" s="282"/>
      <c r="O47" s="284">
        <f>IF(J47="","",IF(AND(M47="",L47=""),Tabela!AC99,IF(AND(L47&gt;0,M47&gt;0),"Informe % ou Valor",IF(L47&gt;0,L47*J47/100,M47))))</f>
        <v>18000</v>
      </c>
      <c r="P47" s="282"/>
      <c r="Q47" s="283"/>
      <c r="R47" s="274"/>
      <c r="S47" s="51">
        <v>1</v>
      </c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</row>
    <row r="48" spans="1:38" ht="19.5" customHeight="1" x14ac:dyDescent="0.25">
      <c r="A48" s="15"/>
      <c r="B48" s="15"/>
      <c r="C48" s="15"/>
      <c r="D48" s="15"/>
      <c r="E48" s="18">
        <v>1</v>
      </c>
      <c r="F48" s="15"/>
      <c r="G48" s="15"/>
      <c r="H48" s="15"/>
      <c r="I48" s="49">
        <v>2</v>
      </c>
      <c r="J48" s="281">
        <v>30000</v>
      </c>
      <c r="K48" s="282"/>
      <c r="L48" s="50">
        <v>60</v>
      </c>
      <c r="M48" s="281"/>
      <c r="N48" s="282"/>
      <c r="O48" s="284">
        <f>IF(J48="","",IF(AND(M48="",L48=""),Tabela!AC100,IF(AND(L48&gt;0,M48&gt;0),"Informe % ou Valor",IF(L48&gt;0,L48*J48/100,M48))))</f>
        <v>18000</v>
      </c>
      <c r="P48" s="282"/>
      <c r="Q48" s="283"/>
      <c r="R48" s="274"/>
      <c r="S48" s="51">
        <v>2</v>
      </c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</row>
    <row r="49" spans="1:38" ht="19.5" customHeight="1" x14ac:dyDescent="0.25">
      <c r="A49" s="15"/>
      <c r="B49" s="15"/>
      <c r="C49" s="15"/>
      <c r="D49" s="15"/>
      <c r="E49" s="18">
        <v>1</v>
      </c>
      <c r="F49" s="15"/>
      <c r="G49" s="15"/>
      <c r="H49" s="15"/>
      <c r="I49" s="49">
        <v>3</v>
      </c>
      <c r="J49" s="281">
        <v>30000</v>
      </c>
      <c r="K49" s="282"/>
      <c r="L49" s="50">
        <v>60</v>
      </c>
      <c r="M49" s="281"/>
      <c r="N49" s="282"/>
      <c r="O49" s="284">
        <f>IF(J49="","",IF(AND(M49="",L49=""),Tabela!AC101,IF(AND(L49&gt;0,M49&gt;0),"Informe % ou Valor",IF(L49&gt;0,L49*J49/100,M49))))</f>
        <v>18000</v>
      </c>
      <c r="P49" s="282"/>
      <c r="Q49" s="283"/>
      <c r="R49" s="274"/>
      <c r="S49" s="51">
        <v>3</v>
      </c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</row>
    <row r="50" spans="1:38" ht="19.5" customHeight="1" x14ac:dyDescent="0.25">
      <c r="A50" s="15"/>
      <c r="B50" s="15"/>
      <c r="C50" s="15"/>
      <c r="D50" s="15"/>
      <c r="E50" s="18">
        <v>1</v>
      </c>
      <c r="F50" s="15"/>
      <c r="G50" s="15"/>
      <c r="H50" s="15"/>
      <c r="I50" s="49">
        <v>4</v>
      </c>
      <c r="J50" s="281">
        <v>30000</v>
      </c>
      <c r="K50" s="282"/>
      <c r="L50" s="50">
        <v>60</v>
      </c>
      <c r="M50" s="281"/>
      <c r="N50" s="282"/>
      <c r="O50" s="284">
        <f>IF(J50="","",IF(AND(M50="",L50=""),Tabela!AC102,IF(AND(L50&gt;0,M50&gt;0),"Informe % ou Valor",IF(L50&gt;0,L50*J50/100,M50))))</f>
        <v>18000</v>
      </c>
      <c r="P50" s="282"/>
      <c r="Q50" s="283"/>
      <c r="R50" s="274"/>
      <c r="S50" s="51">
        <v>4</v>
      </c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</row>
    <row r="51" spans="1:38" ht="19.5" customHeight="1" x14ac:dyDescent="0.25">
      <c r="A51" s="15"/>
      <c r="B51" s="15"/>
      <c r="C51" s="15"/>
      <c r="D51" s="15"/>
      <c r="E51" s="18">
        <v>1</v>
      </c>
      <c r="F51" s="15"/>
      <c r="G51" s="15"/>
      <c r="H51" s="15"/>
      <c r="I51" s="49">
        <v>5</v>
      </c>
      <c r="J51" s="281">
        <v>30000</v>
      </c>
      <c r="K51" s="282"/>
      <c r="L51" s="50">
        <v>60</v>
      </c>
      <c r="M51" s="281"/>
      <c r="N51" s="282"/>
      <c r="O51" s="284">
        <f>IF(J51="","",IF(AND(M51="",L51=""),Tabela!AC103,IF(AND(L51&gt;0,M51&gt;0),"Informe % ou Valor",IF(L51&gt;0,L51*J51/100,M51))))</f>
        <v>18000</v>
      </c>
      <c r="P51" s="282"/>
      <c r="Q51" s="283"/>
      <c r="R51" s="274"/>
      <c r="S51" s="51">
        <v>5</v>
      </c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</row>
    <row r="52" spans="1:38" ht="19.5" customHeight="1" x14ac:dyDescent="0.25">
      <c r="A52" s="15"/>
      <c r="B52" s="15"/>
      <c r="C52" s="15"/>
      <c r="D52" s="15"/>
      <c r="E52" s="18">
        <v>1</v>
      </c>
      <c r="F52" s="15"/>
      <c r="G52" s="15"/>
      <c r="H52" s="15"/>
      <c r="I52" s="49">
        <v>6</v>
      </c>
      <c r="J52" s="281">
        <v>30000</v>
      </c>
      <c r="K52" s="282"/>
      <c r="L52" s="50">
        <v>60</v>
      </c>
      <c r="M52" s="281"/>
      <c r="N52" s="282"/>
      <c r="O52" s="284">
        <f>IF(J52="","",IF(AND(M52="",L52=""),Tabela!AC104,IF(AND(L52&gt;0,M52&gt;0),"Informe % ou Valor",IF(L52&gt;0,L52*J52/100,M52))))</f>
        <v>18000</v>
      </c>
      <c r="P52" s="282"/>
      <c r="Q52" s="283"/>
      <c r="R52" s="274"/>
      <c r="S52" s="51">
        <v>6</v>
      </c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</row>
    <row r="53" spans="1:38" ht="19.5" customHeight="1" x14ac:dyDescent="0.25">
      <c r="A53" s="15"/>
      <c r="B53" s="15"/>
      <c r="C53" s="15"/>
      <c r="D53" s="15"/>
      <c r="E53" s="18">
        <v>1</v>
      </c>
      <c r="F53" s="15"/>
      <c r="G53" s="15"/>
      <c r="H53" s="15"/>
      <c r="I53" s="49">
        <v>7</v>
      </c>
      <c r="J53" s="281">
        <v>30000</v>
      </c>
      <c r="K53" s="282"/>
      <c r="L53" s="50">
        <v>60</v>
      </c>
      <c r="M53" s="281"/>
      <c r="N53" s="282"/>
      <c r="O53" s="284">
        <f>IF(J53="","",IF(AND(M53="",L53=""),Tabela!AC105,IF(AND(L53&gt;0,M53&gt;0),"Informe % ou Valor",IF(L53&gt;0,L53*J53/100,M53))))</f>
        <v>18000</v>
      </c>
      <c r="P53" s="282"/>
      <c r="Q53" s="283"/>
      <c r="R53" s="274"/>
      <c r="S53" s="51">
        <v>7</v>
      </c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</row>
    <row r="54" spans="1:38" ht="19.5" customHeight="1" x14ac:dyDescent="0.25">
      <c r="A54" s="15"/>
      <c r="B54" s="15"/>
      <c r="C54" s="15"/>
      <c r="D54" s="15"/>
      <c r="E54" s="18">
        <v>1</v>
      </c>
      <c r="F54" s="15"/>
      <c r="G54" s="15"/>
      <c r="H54" s="15"/>
      <c r="I54" s="49">
        <v>8</v>
      </c>
      <c r="J54" s="281">
        <v>30000</v>
      </c>
      <c r="K54" s="282"/>
      <c r="L54" s="50">
        <v>60</v>
      </c>
      <c r="M54" s="281"/>
      <c r="N54" s="282"/>
      <c r="O54" s="284">
        <f>IF(J54="","",IF(AND(M54="",L54=""),Tabela!AC106,IF(AND(L54&gt;0,M54&gt;0),"Informe % ou Valor",IF(L54&gt;0,L54*J54/100,M54))))</f>
        <v>18000</v>
      </c>
      <c r="P54" s="282"/>
      <c r="Q54" s="283"/>
      <c r="R54" s="274"/>
      <c r="S54" s="51">
        <v>8</v>
      </c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</row>
    <row r="55" spans="1:38" ht="19.5" customHeight="1" x14ac:dyDescent="0.25">
      <c r="A55" s="15"/>
      <c r="B55" s="15"/>
      <c r="C55" s="15"/>
      <c r="D55" s="15"/>
      <c r="E55" s="18">
        <v>1</v>
      </c>
      <c r="F55" s="15"/>
      <c r="G55" s="15"/>
      <c r="H55" s="15"/>
      <c r="I55" s="49">
        <v>9</v>
      </c>
      <c r="J55" s="281">
        <v>30000</v>
      </c>
      <c r="K55" s="282"/>
      <c r="L55" s="50">
        <v>60</v>
      </c>
      <c r="M55" s="281"/>
      <c r="N55" s="282"/>
      <c r="O55" s="284">
        <f>IF(J55="","",IF(AND(M55="",L55=""),Tabela!AC107,IF(AND(L55&gt;0,M55&gt;0),"Informe % ou Valor",IF(L55&gt;0,L55*J55/100,M55))))</f>
        <v>18000</v>
      </c>
      <c r="P55" s="282"/>
      <c r="Q55" s="283"/>
      <c r="R55" s="274"/>
      <c r="S55" s="51">
        <v>9</v>
      </c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</row>
    <row r="56" spans="1:38" ht="19.5" customHeight="1" x14ac:dyDescent="0.25">
      <c r="A56" s="15"/>
      <c r="B56" s="15"/>
      <c r="C56" s="15"/>
      <c r="D56" s="15"/>
      <c r="E56" s="18">
        <v>1</v>
      </c>
      <c r="F56" s="15"/>
      <c r="G56" s="15"/>
      <c r="H56" s="15"/>
      <c r="I56" s="49">
        <v>10</v>
      </c>
      <c r="J56" s="281">
        <v>30000</v>
      </c>
      <c r="K56" s="282"/>
      <c r="L56" s="50">
        <v>60</v>
      </c>
      <c r="M56" s="281"/>
      <c r="N56" s="282"/>
      <c r="O56" s="284">
        <f>IF(J56="","",IF(AND(M56="",L56=""),Tabela!AC108,IF(AND(L56&gt;0,M56&gt;0),"Informe % ou Valor",IF(L56&gt;0,L56*J56/100,M56))))</f>
        <v>18000</v>
      </c>
      <c r="P56" s="282"/>
      <c r="Q56" s="283"/>
      <c r="R56" s="274"/>
      <c r="S56" s="51">
        <v>10</v>
      </c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</row>
    <row r="57" spans="1:38" ht="19.5" customHeight="1" x14ac:dyDescent="0.25">
      <c r="A57" s="15"/>
      <c r="B57" s="15"/>
      <c r="C57" s="15"/>
      <c r="D57" s="15"/>
      <c r="E57" s="18">
        <v>1</v>
      </c>
      <c r="F57" s="15"/>
      <c r="G57" s="15"/>
      <c r="H57" s="15"/>
      <c r="I57" s="49">
        <v>11</v>
      </c>
      <c r="J57" s="281">
        <v>30000</v>
      </c>
      <c r="K57" s="282"/>
      <c r="L57" s="50">
        <v>60</v>
      </c>
      <c r="M57" s="281"/>
      <c r="N57" s="282"/>
      <c r="O57" s="284">
        <f>IF(J57="","",IF(AND(M57="",L57=""),Tabela!AC109,IF(AND(L57&gt;0,M57&gt;0),"Informe % ou Valor",IF(L57&gt;0,L57*J57/100,M57))))</f>
        <v>18000</v>
      </c>
      <c r="P57" s="282"/>
      <c r="Q57" s="283"/>
      <c r="R57" s="274"/>
      <c r="S57" s="51">
        <v>11</v>
      </c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</row>
    <row r="58" spans="1:38" ht="19.5" customHeight="1" x14ac:dyDescent="0.25">
      <c r="A58" s="15"/>
      <c r="B58" s="15"/>
      <c r="C58" s="15"/>
      <c r="D58" s="15"/>
      <c r="E58" s="18">
        <v>1</v>
      </c>
      <c r="F58" s="15"/>
      <c r="G58" s="15"/>
      <c r="H58" s="15"/>
      <c r="I58" s="49">
        <v>12</v>
      </c>
      <c r="J58" s="281">
        <v>30000</v>
      </c>
      <c r="K58" s="282"/>
      <c r="L58" s="50">
        <v>60</v>
      </c>
      <c r="M58" s="281"/>
      <c r="N58" s="282"/>
      <c r="O58" s="284">
        <f>IF(J58="","",IF(AND(M58="",L58=""),Tabela!AC110,IF(AND(L58&gt;0,M58&gt;0),"Informe % ou Valor",IF(L58&gt;0,L58*J58/100,M58))))</f>
        <v>18000</v>
      </c>
      <c r="P58" s="282"/>
      <c r="Q58" s="283"/>
      <c r="R58" s="274"/>
      <c r="S58" s="51">
        <v>12</v>
      </c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</row>
    <row r="59" spans="1:38" ht="19.5" customHeight="1" x14ac:dyDescent="0.25">
      <c r="A59" s="15"/>
      <c r="B59" s="15"/>
      <c r="C59" s="15"/>
      <c r="D59" s="15"/>
      <c r="E59" s="18">
        <v>1</v>
      </c>
      <c r="F59" s="15"/>
      <c r="G59" s="15"/>
      <c r="H59" s="15"/>
      <c r="I59" s="49">
        <v>13</v>
      </c>
      <c r="J59" s="281">
        <v>30000</v>
      </c>
      <c r="K59" s="282"/>
      <c r="L59" s="50">
        <v>60</v>
      </c>
      <c r="M59" s="281"/>
      <c r="N59" s="282"/>
      <c r="O59" s="284">
        <f>IF(J59="","",IF(AND(M59="",L59=""),Tabela!AC111,IF(AND(L59&gt;0,M59&gt;0),"Informe % ou Valor",IF(L59&gt;0,L59*J59/100,M59))))</f>
        <v>18000</v>
      </c>
      <c r="P59" s="282"/>
      <c r="Q59" s="283"/>
      <c r="R59" s="274"/>
      <c r="S59" s="51">
        <v>13</v>
      </c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</row>
    <row r="60" spans="1:38" ht="19.5" customHeight="1" x14ac:dyDescent="0.25">
      <c r="A60" s="15"/>
      <c r="B60" s="15"/>
      <c r="C60" s="15"/>
      <c r="D60" s="15"/>
      <c r="E60" s="18">
        <v>1</v>
      </c>
      <c r="F60" s="15"/>
      <c r="G60" s="15"/>
      <c r="H60" s="15"/>
      <c r="I60" s="49">
        <v>14</v>
      </c>
      <c r="J60" s="281">
        <v>30000</v>
      </c>
      <c r="K60" s="282"/>
      <c r="L60" s="50">
        <v>60</v>
      </c>
      <c r="M60" s="281"/>
      <c r="N60" s="282"/>
      <c r="O60" s="284">
        <f>IF(J60="","",IF(AND(M60="",L60=""),Tabela!AC112,IF(AND(L60&gt;0,M60&gt;0),"Informe % ou Valor",IF(L60&gt;0,L60*J60/100,M60))))</f>
        <v>18000</v>
      </c>
      <c r="P60" s="282"/>
      <c r="Q60" s="283"/>
      <c r="R60" s="274"/>
      <c r="S60" s="51">
        <v>14</v>
      </c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</row>
    <row r="61" spans="1:38" ht="19.5" customHeight="1" x14ac:dyDescent="0.25">
      <c r="A61" s="15"/>
      <c r="B61" s="15"/>
      <c r="C61" s="15"/>
      <c r="D61" s="15"/>
      <c r="E61" s="18">
        <v>1</v>
      </c>
      <c r="F61" s="15"/>
      <c r="G61" s="15"/>
      <c r="H61" s="15"/>
      <c r="I61" s="49">
        <v>15</v>
      </c>
      <c r="J61" s="281">
        <v>30000</v>
      </c>
      <c r="K61" s="282"/>
      <c r="L61" s="50">
        <v>60</v>
      </c>
      <c r="M61" s="281"/>
      <c r="N61" s="282"/>
      <c r="O61" s="284">
        <f>IF(J61="","",IF(AND(M61="",L61=""),Tabela!AC113,IF(AND(L61&gt;0,M61&gt;0),"Informe % ou Valor",IF(L61&gt;0,L61*J61/100,M61))))</f>
        <v>18000</v>
      </c>
      <c r="P61" s="282"/>
      <c r="Q61" s="283"/>
      <c r="R61" s="274"/>
      <c r="S61" s="51">
        <v>15</v>
      </c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</row>
    <row r="62" spans="1:38" ht="19.5" customHeight="1" x14ac:dyDescent="0.25">
      <c r="A62" s="15"/>
      <c r="B62" s="15"/>
      <c r="C62" s="15"/>
      <c r="D62" s="15"/>
      <c r="E62" s="18">
        <v>1</v>
      </c>
      <c r="F62" s="15"/>
      <c r="G62" s="15"/>
      <c r="H62" s="15"/>
      <c r="I62" s="49">
        <v>16</v>
      </c>
      <c r="J62" s="281">
        <v>30000</v>
      </c>
      <c r="K62" s="282"/>
      <c r="L62" s="50">
        <v>60</v>
      </c>
      <c r="M62" s="281"/>
      <c r="N62" s="282"/>
      <c r="O62" s="284">
        <f>IF(J62="","",IF(AND(M62="",L62=""),Tabela!AC114,IF(AND(L62&gt;0,M62&gt;0),"Informe % ou Valor",IF(L62&gt;0,L62*J62/100,M62))))</f>
        <v>18000</v>
      </c>
      <c r="P62" s="282"/>
      <c r="Q62" s="283"/>
      <c r="R62" s="274"/>
      <c r="S62" s="51">
        <v>16</v>
      </c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</row>
    <row r="63" spans="1:38" ht="19.5" customHeight="1" x14ac:dyDescent="0.25">
      <c r="A63" s="15"/>
      <c r="B63" s="15"/>
      <c r="C63" s="15"/>
      <c r="D63" s="15"/>
      <c r="E63" s="18">
        <v>1</v>
      </c>
      <c r="F63" s="15"/>
      <c r="G63" s="15"/>
      <c r="H63" s="15"/>
      <c r="I63" s="49">
        <v>17</v>
      </c>
      <c r="J63" s="281">
        <v>30000</v>
      </c>
      <c r="K63" s="282"/>
      <c r="L63" s="50">
        <v>60</v>
      </c>
      <c r="M63" s="281"/>
      <c r="N63" s="282"/>
      <c r="O63" s="284">
        <f>IF(J63="","",IF(AND(M63="",L63=""),Tabela!AC115,IF(AND(L63&gt;0,M63&gt;0),"Informe % ou Valor",IF(L63&gt;0,L63*J63/100,M63))))</f>
        <v>18000</v>
      </c>
      <c r="P63" s="282"/>
      <c r="Q63" s="283"/>
      <c r="R63" s="274"/>
      <c r="S63" s="51">
        <v>17</v>
      </c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</row>
    <row r="64" spans="1:38" ht="19.5" customHeight="1" x14ac:dyDescent="0.25">
      <c r="A64" s="15"/>
      <c r="B64" s="15"/>
      <c r="C64" s="15"/>
      <c r="D64" s="15"/>
      <c r="E64" s="18">
        <v>1</v>
      </c>
      <c r="F64" s="15"/>
      <c r="G64" s="15"/>
      <c r="H64" s="15"/>
      <c r="I64" s="49">
        <v>18</v>
      </c>
      <c r="J64" s="281">
        <v>30000</v>
      </c>
      <c r="K64" s="282"/>
      <c r="L64" s="50">
        <v>60</v>
      </c>
      <c r="M64" s="281"/>
      <c r="N64" s="282"/>
      <c r="O64" s="284">
        <f>IF(J64="","",IF(AND(M64="",L64=""),Tabela!AC116,IF(AND(L64&gt;0,M64&gt;0),"Informe % ou Valor",IF(L64&gt;0,L64*J64/100,M64))))</f>
        <v>18000</v>
      </c>
      <c r="P64" s="282"/>
      <c r="Q64" s="283"/>
      <c r="R64" s="274"/>
      <c r="S64" s="51">
        <v>18</v>
      </c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</row>
    <row r="65" spans="1:38" ht="19.5" customHeight="1" x14ac:dyDescent="0.25">
      <c r="A65" s="15"/>
      <c r="B65" s="15"/>
      <c r="C65" s="15"/>
      <c r="D65" s="15"/>
      <c r="E65" s="18">
        <v>1</v>
      </c>
      <c r="F65" s="15"/>
      <c r="G65" s="15"/>
      <c r="H65" s="15"/>
      <c r="I65" s="49">
        <v>19</v>
      </c>
      <c r="J65" s="281">
        <v>30000</v>
      </c>
      <c r="K65" s="282"/>
      <c r="L65" s="50">
        <v>60</v>
      </c>
      <c r="M65" s="281"/>
      <c r="N65" s="282"/>
      <c r="O65" s="284">
        <f>IF(J65="","",IF(AND(M65="",L65=""),Tabela!AC117,IF(AND(L65&gt;0,M65&gt;0),"Informe % ou Valor",IF(L65&gt;0,L65*J65/100,M65))))</f>
        <v>18000</v>
      </c>
      <c r="P65" s="282"/>
      <c r="Q65" s="283"/>
      <c r="R65" s="274"/>
      <c r="S65" s="51">
        <v>19</v>
      </c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</row>
    <row r="66" spans="1:38" ht="19.5" customHeight="1" x14ac:dyDescent="0.25">
      <c r="A66" s="15"/>
      <c r="B66" s="15"/>
      <c r="C66" s="15"/>
      <c r="D66" s="15"/>
      <c r="E66" s="18">
        <v>1</v>
      </c>
      <c r="F66" s="15"/>
      <c r="G66" s="15"/>
      <c r="H66" s="15"/>
      <c r="I66" s="49">
        <v>20</v>
      </c>
      <c r="J66" s="281">
        <v>30000</v>
      </c>
      <c r="K66" s="282"/>
      <c r="L66" s="50">
        <v>60</v>
      </c>
      <c r="M66" s="281"/>
      <c r="N66" s="282"/>
      <c r="O66" s="284">
        <f>IF(J66="","",IF(AND(M66="",L66=""),Tabela!AC118,IF(AND(L66&gt;0,M66&gt;0),"Informe % ou Valor",IF(L66&gt;0,L66*J66/100,M66))))</f>
        <v>18000</v>
      </c>
      <c r="P66" s="282"/>
      <c r="Q66" s="283"/>
      <c r="R66" s="274"/>
      <c r="S66" s="51">
        <v>20</v>
      </c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</row>
    <row r="67" spans="1:38" ht="19.5" customHeight="1" x14ac:dyDescent="0.25">
      <c r="A67" s="15"/>
      <c r="B67" s="15"/>
      <c r="C67" s="15"/>
      <c r="D67" s="15"/>
      <c r="E67" s="18">
        <v>1</v>
      </c>
      <c r="F67" s="15"/>
      <c r="G67" s="15"/>
      <c r="H67" s="15"/>
      <c r="I67" s="23"/>
      <c r="J67" s="23"/>
      <c r="K67" s="23"/>
      <c r="L67" s="23"/>
      <c r="M67" s="23"/>
      <c r="N67" s="23"/>
      <c r="O67" s="23"/>
      <c r="P67" s="23"/>
      <c r="Q67" s="23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</row>
    <row r="68" spans="1:38" ht="19.5" customHeight="1" x14ac:dyDescent="0.25">
      <c r="A68" s="15"/>
      <c r="B68" s="15"/>
      <c r="C68" s="15"/>
      <c r="D68" s="15"/>
      <c r="E68" s="18">
        <v>1</v>
      </c>
      <c r="F68" s="15"/>
      <c r="G68" s="15"/>
      <c r="H68" s="15"/>
      <c r="I68" s="285" t="s">
        <v>52</v>
      </c>
      <c r="J68" s="286"/>
      <c r="K68" s="286"/>
      <c r="L68" s="286"/>
      <c r="M68" s="286"/>
      <c r="N68" s="287"/>
      <c r="O68" s="311" t="s">
        <v>54</v>
      </c>
      <c r="P68" s="312"/>
      <c r="Q68" s="312"/>
      <c r="R68" s="312"/>
      <c r="S68" s="313"/>
      <c r="T68" s="54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</row>
    <row r="69" spans="1:38" ht="19.5" customHeight="1" x14ac:dyDescent="0.25">
      <c r="A69" s="15"/>
      <c r="B69" s="15"/>
      <c r="C69" s="15"/>
      <c r="D69" s="15"/>
      <c r="E69" s="18">
        <v>1</v>
      </c>
      <c r="F69" s="15"/>
      <c r="G69" s="15"/>
      <c r="H69" s="15"/>
      <c r="I69" s="307"/>
      <c r="J69" s="268"/>
      <c r="K69" s="268"/>
      <c r="L69" s="268"/>
      <c r="M69" s="268"/>
      <c r="N69" s="314"/>
      <c r="O69" s="307"/>
      <c r="P69" s="268"/>
      <c r="Q69" s="268"/>
      <c r="R69" s="268"/>
      <c r="S69" s="269"/>
      <c r="T69" s="54"/>
      <c r="U69" s="15"/>
      <c r="V69" s="15"/>
      <c r="W69" s="15"/>
      <c r="X69" s="15"/>
      <c r="Y69" s="15"/>
      <c r="Z69" s="15"/>
      <c r="AA69" s="56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</row>
    <row r="70" spans="1:38" ht="19.5" customHeight="1" x14ac:dyDescent="0.25">
      <c r="A70" s="15"/>
      <c r="B70" s="15"/>
      <c r="C70" s="15"/>
      <c r="D70" s="15"/>
      <c r="E70" s="18">
        <v>1</v>
      </c>
      <c r="F70" s="15"/>
      <c r="G70" s="15"/>
      <c r="H70" s="15"/>
      <c r="I70" s="308"/>
      <c r="J70" s="309"/>
      <c r="K70" s="309"/>
      <c r="L70" s="309"/>
      <c r="M70" s="309"/>
      <c r="N70" s="315"/>
      <c r="O70" s="308"/>
      <c r="P70" s="309"/>
      <c r="Q70" s="309"/>
      <c r="R70" s="309"/>
      <c r="S70" s="310"/>
      <c r="T70" s="54"/>
      <c r="U70" s="15"/>
      <c r="V70" s="15"/>
      <c r="W70" s="15"/>
      <c r="X70" s="15"/>
      <c r="Y70" s="15"/>
      <c r="Z70" s="15"/>
      <c r="AA70" s="56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</row>
    <row r="71" spans="1:38" ht="19.5" customHeight="1" x14ac:dyDescent="0.25">
      <c r="A71" s="15"/>
      <c r="B71" s="15"/>
      <c r="C71" s="15"/>
      <c r="D71" s="15"/>
      <c r="E71" s="18">
        <v>1</v>
      </c>
      <c r="F71" s="15"/>
      <c r="G71" s="15"/>
      <c r="H71" s="15"/>
      <c r="I71" s="308"/>
      <c r="J71" s="309"/>
      <c r="K71" s="309"/>
      <c r="L71" s="309"/>
      <c r="M71" s="309"/>
      <c r="N71" s="315"/>
      <c r="O71" s="308"/>
      <c r="P71" s="309"/>
      <c r="Q71" s="309"/>
      <c r="R71" s="309"/>
      <c r="S71" s="310"/>
      <c r="T71" s="54"/>
      <c r="U71" s="15"/>
      <c r="V71" s="15"/>
      <c r="W71" s="15"/>
      <c r="X71" s="15"/>
      <c r="Y71" s="15"/>
      <c r="Z71" s="15"/>
      <c r="AA71" s="56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</row>
    <row r="72" spans="1:38" ht="19.5" customHeight="1" x14ac:dyDescent="0.25">
      <c r="A72" s="15"/>
      <c r="B72" s="15"/>
      <c r="C72" s="15"/>
      <c r="D72" s="15"/>
      <c r="E72" s="18">
        <v>1</v>
      </c>
      <c r="F72" s="15"/>
      <c r="G72" s="15"/>
      <c r="H72" s="15"/>
      <c r="I72" s="308"/>
      <c r="J72" s="309"/>
      <c r="K72" s="309"/>
      <c r="L72" s="309"/>
      <c r="M72" s="309"/>
      <c r="N72" s="315"/>
      <c r="O72" s="308"/>
      <c r="P72" s="309"/>
      <c r="Q72" s="309"/>
      <c r="R72" s="309"/>
      <c r="S72" s="310"/>
      <c r="T72" s="54"/>
      <c r="U72" s="15"/>
      <c r="V72" s="15"/>
      <c r="W72" s="15"/>
      <c r="X72" s="15"/>
      <c r="Y72" s="15"/>
      <c r="Z72" s="15"/>
      <c r="AA72" s="56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</row>
    <row r="73" spans="1:38" ht="19.5" customHeight="1" x14ac:dyDescent="0.25">
      <c r="A73" s="15"/>
      <c r="B73" s="15"/>
      <c r="C73" s="15"/>
      <c r="D73" s="15"/>
      <c r="E73" s="18">
        <v>1</v>
      </c>
      <c r="F73" s="15"/>
      <c r="G73" s="15"/>
      <c r="H73" s="15"/>
      <c r="I73" s="308"/>
      <c r="J73" s="309"/>
      <c r="K73" s="309"/>
      <c r="L73" s="309"/>
      <c r="M73" s="309"/>
      <c r="N73" s="315"/>
      <c r="O73" s="308"/>
      <c r="P73" s="309"/>
      <c r="Q73" s="309"/>
      <c r="R73" s="309"/>
      <c r="S73" s="310"/>
      <c r="T73" s="54"/>
      <c r="U73" s="15"/>
      <c r="V73" s="15"/>
      <c r="W73" s="15"/>
      <c r="X73" s="15"/>
      <c r="Y73" s="15"/>
      <c r="Z73" s="15"/>
      <c r="AA73" s="56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</row>
    <row r="74" spans="1:38" ht="19.5" customHeight="1" x14ac:dyDescent="0.25">
      <c r="A74" s="15"/>
      <c r="B74" s="15"/>
      <c r="C74" s="15"/>
      <c r="D74" s="15"/>
      <c r="E74" s="18">
        <v>1</v>
      </c>
      <c r="F74" s="15"/>
      <c r="G74" s="15"/>
      <c r="H74" s="15"/>
      <c r="I74" s="308"/>
      <c r="J74" s="309"/>
      <c r="K74" s="309"/>
      <c r="L74" s="309"/>
      <c r="M74" s="309"/>
      <c r="N74" s="315"/>
      <c r="O74" s="308"/>
      <c r="P74" s="309"/>
      <c r="Q74" s="309"/>
      <c r="R74" s="309"/>
      <c r="S74" s="310"/>
      <c r="T74" s="54"/>
      <c r="U74" s="15"/>
      <c r="V74" s="15"/>
      <c r="W74" s="15"/>
      <c r="X74" s="15"/>
      <c r="Y74" s="15"/>
      <c r="Z74" s="15"/>
      <c r="AA74" s="56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</row>
    <row r="75" spans="1:38" ht="19.5" customHeight="1" x14ac:dyDescent="0.25">
      <c r="A75" s="15"/>
      <c r="B75" s="15"/>
      <c r="C75" s="15"/>
      <c r="D75" s="15"/>
      <c r="E75" s="18">
        <v>1</v>
      </c>
      <c r="F75" s="15"/>
      <c r="G75" s="15"/>
      <c r="H75" s="15"/>
      <c r="I75" s="270"/>
      <c r="J75" s="271"/>
      <c r="K75" s="271"/>
      <c r="L75" s="271"/>
      <c r="M75" s="271"/>
      <c r="N75" s="316"/>
      <c r="O75" s="270"/>
      <c r="P75" s="271"/>
      <c r="Q75" s="271"/>
      <c r="R75" s="271"/>
      <c r="S75" s="272"/>
      <c r="T75" s="54"/>
      <c r="U75" s="15"/>
      <c r="V75" s="15"/>
      <c r="W75" s="15"/>
      <c r="X75" s="15"/>
      <c r="Y75" s="15"/>
      <c r="Z75" s="15"/>
      <c r="AA75" s="56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</row>
    <row r="76" spans="1:38" ht="19.5" customHeight="1" x14ac:dyDescent="0.25">
      <c r="A76" s="15"/>
      <c r="B76" s="15"/>
      <c r="C76" s="15"/>
      <c r="D76" s="15"/>
      <c r="E76" s="18">
        <v>0</v>
      </c>
      <c r="F76" s="15"/>
      <c r="G76" s="15"/>
      <c r="H76" s="15"/>
      <c r="I76" s="23"/>
      <c r="J76" s="23"/>
      <c r="K76" s="23"/>
      <c r="L76" s="23"/>
      <c r="M76" s="23"/>
      <c r="N76" s="23"/>
      <c r="O76" s="23"/>
      <c r="P76" s="23"/>
      <c r="Q76" s="23"/>
      <c r="R76" s="15"/>
      <c r="S76" s="60"/>
      <c r="T76" s="61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</row>
    <row r="77" spans="1:38" ht="19.5" hidden="1" customHeight="1" x14ac:dyDescent="0.25">
      <c r="A77" s="15"/>
      <c r="B77" s="15"/>
      <c r="C77" s="15"/>
      <c r="D77" s="15"/>
      <c r="E77" s="18">
        <v>0</v>
      </c>
      <c r="F77" s="15"/>
      <c r="G77" s="15"/>
      <c r="H77" s="15"/>
      <c r="I77" s="23"/>
      <c r="J77" s="23"/>
      <c r="K77" s="23"/>
      <c r="L77" s="23"/>
      <c r="M77" s="23"/>
      <c r="N77" s="23"/>
      <c r="O77" s="23"/>
      <c r="P77" s="23"/>
      <c r="Q77" s="23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</row>
    <row r="78" spans="1:38" ht="19.5" hidden="1" customHeight="1" x14ac:dyDescent="0.25">
      <c r="A78" s="15"/>
      <c r="B78" s="15"/>
      <c r="C78" s="15"/>
      <c r="D78" s="15"/>
      <c r="E78" s="18">
        <v>0</v>
      </c>
      <c r="F78" s="15"/>
      <c r="G78" s="15"/>
      <c r="H78" s="15"/>
      <c r="I78" s="23"/>
      <c r="J78" s="23"/>
      <c r="K78" s="23"/>
      <c r="L78" s="23"/>
      <c r="M78" s="23"/>
      <c r="N78" s="23"/>
      <c r="O78" s="23"/>
      <c r="P78" s="23"/>
      <c r="Q78" s="23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</row>
    <row r="79" spans="1:38" ht="19.5" hidden="1" customHeight="1" x14ac:dyDescent="0.25">
      <c r="A79" s="15"/>
      <c r="B79" s="15"/>
      <c r="C79" s="15"/>
      <c r="D79" s="15"/>
      <c r="E79" s="18">
        <v>0</v>
      </c>
      <c r="F79" s="15"/>
      <c r="G79" s="15"/>
      <c r="H79" s="15"/>
      <c r="I79" s="23"/>
      <c r="J79" s="23"/>
      <c r="K79" s="23"/>
      <c r="L79" s="23"/>
      <c r="M79" s="23"/>
      <c r="N79" s="23"/>
      <c r="O79" s="23"/>
      <c r="P79" s="23"/>
      <c r="Q79" s="23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</row>
    <row r="80" spans="1:38" ht="19.5" hidden="1" customHeight="1" x14ac:dyDescent="0.25">
      <c r="A80" s="15"/>
      <c r="B80" s="15"/>
      <c r="C80" s="15"/>
      <c r="D80" s="62"/>
      <c r="E80" s="18">
        <v>0</v>
      </c>
      <c r="F80" s="15"/>
      <c r="G80" s="15"/>
      <c r="H80" s="15"/>
      <c r="I80" s="288" t="s">
        <v>56</v>
      </c>
      <c r="J80" s="289"/>
      <c r="K80" s="289"/>
      <c r="L80" s="289"/>
      <c r="M80" s="289"/>
      <c r="N80" s="289"/>
      <c r="O80" s="289"/>
      <c r="P80" s="289"/>
      <c r="Q80" s="289"/>
      <c r="R80" s="289"/>
      <c r="S80" s="290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</row>
    <row r="81" spans="1:38" ht="19.5" hidden="1" customHeight="1" x14ac:dyDescent="0.25">
      <c r="A81" s="15"/>
      <c r="B81" s="15"/>
      <c r="C81" s="15"/>
      <c r="D81" s="62"/>
      <c r="E81" s="18">
        <v>0</v>
      </c>
      <c r="F81" s="15"/>
      <c r="G81" s="15"/>
      <c r="H81" s="15"/>
      <c r="I81" s="23"/>
      <c r="J81" s="23"/>
      <c r="K81" s="23"/>
      <c r="L81" s="23"/>
      <c r="M81" s="23"/>
      <c r="N81" s="23"/>
      <c r="O81" s="23"/>
      <c r="P81" s="23"/>
      <c r="Q81" s="23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</row>
    <row r="82" spans="1:38" ht="19.5" hidden="1" customHeight="1" x14ac:dyDescent="0.25">
      <c r="A82" s="15"/>
      <c r="B82" s="15"/>
      <c r="C82" s="15"/>
      <c r="D82" s="62"/>
      <c r="E82" s="18">
        <v>0</v>
      </c>
      <c r="F82" s="15"/>
      <c r="G82" s="15"/>
      <c r="H82" s="15"/>
      <c r="I82" s="27" t="s">
        <v>45</v>
      </c>
      <c r="J82" s="285" t="s">
        <v>25</v>
      </c>
      <c r="K82" s="282"/>
      <c r="L82" s="23"/>
      <c r="M82" s="27" t="s">
        <v>45</v>
      </c>
      <c r="N82" s="285" t="s">
        <v>25</v>
      </c>
      <c r="O82" s="282"/>
      <c r="P82" s="23"/>
      <c r="Q82" s="285" t="s">
        <v>57</v>
      </c>
      <c r="R82" s="286"/>
      <c r="S82" s="282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</row>
    <row r="83" spans="1:38" ht="19.5" hidden="1" customHeight="1" x14ac:dyDescent="0.25">
      <c r="A83" s="15"/>
      <c r="B83" s="15"/>
      <c r="C83" s="15"/>
      <c r="D83" s="15"/>
      <c r="E83" s="18">
        <v>0</v>
      </c>
      <c r="F83" s="15"/>
      <c r="G83" s="15"/>
      <c r="H83" s="15"/>
      <c r="I83" s="49">
        <v>1</v>
      </c>
      <c r="J83" s="281"/>
      <c r="K83" s="282"/>
      <c r="L83" s="23"/>
      <c r="M83" s="49">
        <v>11</v>
      </c>
      <c r="N83" s="281"/>
      <c r="O83" s="282"/>
      <c r="P83" s="23"/>
      <c r="Q83" s="307" t="s">
        <v>59</v>
      </c>
      <c r="R83" s="268"/>
      <c r="S83" s="269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</row>
    <row r="84" spans="1:38" ht="19.5" hidden="1" customHeight="1" x14ac:dyDescent="0.25">
      <c r="A84" s="15"/>
      <c r="B84" s="15"/>
      <c r="C84" s="15"/>
      <c r="D84" s="15"/>
      <c r="E84" s="18">
        <v>0</v>
      </c>
      <c r="F84" s="15"/>
      <c r="G84" s="15"/>
      <c r="H84" s="15"/>
      <c r="I84" s="49">
        <v>2</v>
      </c>
      <c r="J84" s="281"/>
      <c r="K84" s="282"/>
      <c r="L84" s="23"/>
      <c r="M84" s="49">
        <v>12</v>
      </c>
      <c r="N84" s="281"/>
      <c r="O84" s="282"/>
      <c r="P84" s="23"/>
      <c r="Q84" s="308"/>
      <c r="R84" s="309"/>
      <c r="S84" s="310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</row>
    <row r="85" spans="1:38" ht="19.5" hidden="1" customHeight="1" x14ac:dyDescent="0.25">
      <c r="A85" s="15"/>
      <c r="B85" s="15"/>
      <c r="C85" s="15"/>
      <c r="D85" s="15"/>
      <c r="E85" s="18">
        <v>0</v>
      </c>
      <c r="F85" s="15"/>
      <c r="G85" s="15"/>
      <c r="H85" s="15"/>
      <c r="I85" s="49">
        <v>3</v>
      </c>
      <c r="J85" s="281"/>
      <c r="K85" s="282"/>
      <c r="L85" s="23"/>
      <c r="M85" s="49">
        <v>13</v>
      </c>
      <c r="N85" s="281"/>
      <c r="O85" s="282"/>
      <c r="P85" s="23"/>
      <c r="Q85" s="308"/>
      <c r="R85" s="309"/>
      <c r="S85" s="310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</row>
    <row r="86" spans="1:38" ht="19.5" hidden="1" customHeight="1" x14ac:dyDescent="0.25">
      <c r="A86" s="15"/>
      <c r="B86" s="15"/>
      <c r="C86" s="15"/>
      <c r="D86" s="15"/>
      <c r="E86" s="18">
        <v>0</v>
      </c>
      <c r="F86" s="15"/>
      <c r="G86" s="15"/>
      <c r="H86" s="15"/>
      <c r="I86" s="49">
        <v>4</v>
      </c>
      <c r="J86" s="281"/>
      <c r="K86" s="282"/>
      <c r="L86" s="23"/>
      <c r="M86" s="49">
        <v>14</v>
      </c>
      <c r="N86" s="281"/>
      <c r="O86" s="282"/>
      <c r="P86" s="23"/>
      <c r="Q86" s="308"/>
      <c r="R86" s="309"/>
      <c r="S86" s="310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</row>
    <row r="87" spans="1:38" ht="19.5" hidden="1" customHeight="1" x14ac:dyDescent="0.25">
      <c r="A87" s="15"/>
      <c r="B87" s="15"/>
      <c r="C87" s="15"/>
      <c r="D87" s="15"/>
      <c r="E87" s="18">
        <v>0</v>
      </c>
      <c r="F87" s="15"/>
      <c r="G87" s="15"/>
      <c r="H87" s="15"/>
      <c r="I87" s="49">
        <v>5</v>
      </c>
      <c r="J87" s="281"/>
      <c r="K87" s="282"/>
      <c r="L87" s="23"/>
      <c r="M87" s="49">
        <v>15</v>
      </c>
      <c r="N87" s="281"/>
      <c r="O87" s="282"/>
      <c r="P87" s="23"/>
      <c r="Q87" s="308"/>
      <c r="R87" s="309"/>
      <c r="S87" s="310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</row>
    <row r="88" spans="1:38" ht="19.5" hidden="1" customHeight="1" x14ac:dyDescent="0.25">
      <c r="A88" s="15"/>
      <c r="B88" s="15"/>
      <c r="C88" s="15"/>
      <c r="D88" s="15"/>
      <c r="E88" s="18">
        <v>0</v>
      </c>
      <c r="F88" s="15"/>
      <c r="G88" s="15"/>
      <c r="H88" s="15"/>
      <c r="I88" s="49">
        <v>6</v>
      </c>
      <c r="J88" s="281"/>
      <c r="K88" s="282"/>
      <c r="L88" s="23"/>
      <c r="M88" s="49">
        <v>16</v>
      </c>
      <c r="N88" s="281"/>
      <c r="O88" s="282"/>
      <c r="P88" s="23"/>
      <c r="Q88" s="308"/>
      <c r="R88" s="309"/>
      <c r="S88" s="310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</row>
    <row r="89" spans="1:38" ht="19.5" hidden="1" customHeight="1" x14ac:dyDescent="0.25">
      <c r="A89" s="15"/>
      <c r="B89" s="15"/>
      <c r="C89" s="15"/>
      <c r="D89" s="15"/>
      <c r="E89" s="18">
        <v>0</v>
      </c>
      <c r="F89" s="15"/>
      <c r="G89" s="15"/>
      <c r="H89" s="15"/>
      <c r="I89" s="49">
        <v>7</v>
      </c>
      <c r="J89" s="281"/>
      <c r="K89" s="282"/>
      <c r="L89" s="23"/>
      <c r="M89" s="49">
        <v>17</v>
      </c>
      <c r="N89" s="281"/>
      <c r="O89" s="282"/>
      <c r="P89" s="23"/>
      <c r="Q89" s="308"/>
      <c r="R89" s="309"/>
      <c r="S89" s="310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</row>
    <row r="90" spans="1:38" ht="19.5" hidden="1" customHeight="1" x14ac:dyDescent="0.25">
      <c r="A90" s="15"/>
      <c r="B90" s="15"/>
      <c r="C90" s="15"/>
      <c r="D90" s="15"/>
      <c r="E90" s="18">
        <v>0</v>
      </c>
      <c r="F90" s="15"/>
      <c r="G90" s="15"/>
      <c r="H90" s="15"/>
      <c r="I90" s="49">
        <v>8</v>
      </c>
      <c r="J90" s="281"/>
      <c r="K90" s="282"/>
      <c r="L90" s="23"/>
      <c r="M90" s="49">
        <v>18</v>
      </c>
      <c r="N90" s="281"/>
      <c r="O90" s="282"/>
      <c r="P90" s="23"/>
      <c r="Q90" s="308"/>
      <c r="R90" s="309"/>
      <c r="S90" s="310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</row>
    <row r="91" spans="1:38" ht="19.5" hidden="1" customHeight="1" x14ac:dyDescent="0.25">
      <c r="A91" s="15"/>
      <c r="B91" s="15"/>
      <c r="C91" s="15"/>
      <c r="D91" s="15"/>
      <c r="E91" s="18">
        <v>0</v>
      </c>
      <c r="F91" s="15"/>
      <c r="G91" s="15"/>
      <c r="H91" s="15"/>
      <c r="I91" s="49">
        <v>9</v>
      </c>
      <c r="J91" s="281"/>
      <c r="K91" s="282"/>
      <c r="L91" s="23"/>
      <c r="M91" s="49">
        <v>19</v>
      </c>
      <c r="N91" s="281"/>
      <c r="O91" s="282"/>
      <c r="P91" s="23"/>
      <c r="Q91" s="308"/>
      <c r="R91" s="309"/>
      <c r="S91" s="310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</row>
    <row r="92" spans="1:38" ht="19.5" hidden="1" customHeight="1" x14ac:dyDescent="0.25">
      <c r="A92" s="15"/>
      <c r="B92" s="15"/>
      <c r="C92" s="15"/>
      <c r="D92" s="15"/>
      <c r="E92" s="18">
        <v>0</v>
      </c>
      <c r="F92" s="15"/>
      <c r="G92" s="15"/>
      <c r="H92" s="15"/>
      <c r="I92" s="49">
        <v>10</v>
      </c>
      <c r="J92" s="281"/>
      <c r="K92" s="282"/>
      <c r="L92" s="23"/>
      <c r="M92" s="49">
        <v>20</v>
      </c>
      <c r="N92" s="281"/>
      <c r="O92" s="282"/>
      <c r="P92" s="23"/>
      <c r="Q92" s="270"/>
      <c r="R92" s="271"/>
      <c r="S92" s="272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</row>
    <row r="93" spans="1:38" ht="19.5" hidden="1" customHeight="1" x14ac:dyDescent="0.25">
      <c r="A93" s="15"/>
      <c r="B93" s="15"/>
      <c r="C93" s="15"/>
      <c r="D93" s="15"/>
      <c r="E93" s="18">
        <v>1</v>
      </c>
      <c r="F93" s="15"/>
      <c r="G93" s="15"/>
      <c r="H93" s="15"/>
      <c r="I93" s="74"/>
      <c r="J93" s="74"/>
      <c r="K93" s="74"/>
      <c r="L93" s="74"/>
      <c r="M93" s="74"/>
      <c r="N93" s="74"/>
      <c r="O93" s="74"/>
      <c r="P93" s="74"/>
      <c r="Q93" s="74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</row>
    <row r="94" spans="1:38" ht="19.5" customHeight="1" x14ac:dyDescent="0.25">
      <c r="A94" s="15"/>
      <c r="B94" s="15"/>
      <c r="C94" s="15"/>
      <c r="D94" s="15"/>
      <c r="E94" s="18">
        <v>1</v>
      </c>
      <c r="F94" s="15"/>
      <c r="G94" s="15"/>
      <c r="H94" s="15"/>
      <c r="I94" s="75"/>
      <c r="J94" s="75"/>
      <c r="K94" s="75"/>
      <c r="L94" s="75"/>
      <c r="M94" s="75"/>
      <c r="N94" s="75"/>
      <c r="O94" s="297"/>
      <c r="P94" s="298"/>
      <c r="Q94" s="274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</row>
    <row r="95" spans="1:38" ht="19.5" customHeight="1" x14ac:dyDescent="0.25">
      <c r="A95" s="15"/>
      <c r="B95" s="15"/>
      <c r="C95" s="15"/>
      <c r="D95" s="15"/>
      <c r="E95" s="18">
        <v>1</v>
      </c>
      <c r="F95" s="15"/>
      <c r="G95" s="15"/>
      <c r="H95" s="15"/>
      <c r="I95" s="75"/>
      <c r="J95" s="304" t="s">
        <v>60</v>
      </c>
      <c r="K95" s="274"/>
      <c r="L95" s="300"/>
      <c r="M95" s="289"/>
      <c r="N95" s="301"/>
      <c r="O95" s="299">
        <f ca="1">IF(Q6&lt;&gt;"",Q6,IF(SUM(L14:L32)&gt;0,TODAY(),""))</f>
        <v>43181</v>
      </c>
      <c r="P95" s="298"/>
      <c r="Q95" s="274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</row>
    <row r="96" spans="1:38" ht="19.5" customHeight="1" x14ac:dyDescent="0.25">
      <c r="A96" s="15"/>
      <c r="B96" s="15"/>
      <c r="C96" s="15"/>
      <c r="D96" s="15"/>
      <c r="E96" s="18">
        <v>1</v>
      </c>
      <c r="F96" s="15"/>
      <c r="G96" s="15"/>
      <c r="H96" s="15"/>
      <c r="I96" s="75"/>
      <c r="J96" s="75"/>
      <c r="K96" s="75"/>
      <c r="L96" s="75"/>
      <c r="M96" s="19"/>
      <c r="N96" s="19"/>
      <c r="O96" s="19"/>
      <c r="P96" s="19"/>
      <c r="Q96" s="19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</row>
    <row r="97" spans="1:38" ht="19.5" customHeight="1" x14ac:dyDescent="0.25">
      <c r="A97" s="15"/>
      <c r="B97" s="15"/>
      <c r="C97" s="15"/>
      <c r="D97" s="15"/>
      <c r="E97" s="18">
        <v>1</v>
      </c>
      <c r="F97" s="15"/>
      <c r="G97" s="15"/>
      <c r="H97" s="15"/>
      <c r="I97" s="75"/>
      <c r="J97" s="75"/>
      <c r="K97" s="75"/>
      <c r="L97" s="75"/>
      <c r="M97" s="19"/>
      <c r="N97" s="19"/>
      <c r="O97" s="19"/>
      <c r="P97" s="19"/>
      <c r="Q97" s="19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</row>
    <row r="98" spans="1:38" ht="19.5" customHeight="1" x14ac:dyDescent="0.25">
      <c r="A98" s="15"/>
      <c r="B98" s="15"/>
      <c r="C98" s="15"/>
      <c r="D98" s="15"/>
      <c r="E98" s="18">
        <v>1</v>
      </c>
      <c r="F98" s="15"/>
      <c r="G98" s="15"/>
      <c r="H98" s="15"/>
      <c r="I98" s="75"/>
      <c r="J98" s="75"/>
      <c r="K98" s="75"/>
      <c r="L98" s="75"/>
      <c r="M98" s="293" t="s">
        <v>61</v>
      </c>
      <c r="N98" s="294"/>
      <c r="O98" s="294"/>
      <c r="P98" s="294"/>
      <c r="Q98" s="276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</row>
    <row r="99" spans="1:38" ht="60.75" customHeight="1" x14ac:dyDescent="0.25">
      <c r="A99" s="15"/>
      <c r="B99" s="15"/>
      <c r="C99" s="15"/>
      <c r="D99" s="15"/>
      <c r="E99" s="18">
        <v>1</v>
      </c>
      <c r="F99" s="15"/>
      <c r="G99" s="15"/>
      <c r="H99" s="15"/>
      <c r="I99" s="75"/>
      <c r="J99" s="75"/>
      <c r="K99" s="75"/>
      <c r="L99" s="78"/>
      <c r="M99" s="295"/>
      <c r="N99" s="286"/>
      <c r="O99" s="286"/>
      <c r="P99" s="286"/>
      <c r="Q99" s="282"/>
      <c r="R99" s="79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</row>
    <row r="100" spans="1:38" ht="23.25" customHeight="1" x14ac:dyDescent="0.25">
      <c r="A100" s="15"/>
      <c r="B100" s="15"/>
      <c r="C100" s="15"/>
      <c r="D100" s="15"/>
      <c r="E100" s="18">
        <v>1</v>
      </c>
      <c r="F100" s="15"/>
      <c r="G100" s="15"/>
      <c r="H100" s="15"/>
      <c r="I100" s="75"/>
      <c r="J100" s="75"/>
      <c r="K100" s="16"/>
      <c r="L100" s="80" t="s">
        <v>62</v>
      </c>
      <c r="M100" s="296"/>
      <c r="N100" s="286"/>
      <c r="O100" s="286"/>
      <c r="P100" s="286"/>
      <c r="Q100" s="282"/>
      <c r="R100" s="79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</row>
    <row r="101" spans="1:38" ht="23.25" customHeight="1" x14ac:dyDescent="0.25">
      <c r="A101" s="15"/>
      <c r="B101" s="15"/>
      <c r="C101" s="15"/>
      <c r="D101" s="15"/>
      <c r="E101" s="18">
        <v>1</v>
      </c>
      <c r="F101" s="15"/>
      <c r="G101" s="15"/>
      <c r="H101" s="15"/>
      <c r="I101" s="75"/>
      <c r="J101" s="75"/>
      <c r="K101" s="16"/>
      <c r="L101" s="80" t="s">
        <v>63</v>
      </c>
      <c r="M101" s="296"/>
      <c r="N101" s="286"/>
      <c r="O101" s="286"/>
      <c r="P101" s="286"/>
      <c r="Q101" s="282"/>
      <c r="R101" s="79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</row>
    <row r="102" spans="1:38" ht="19.5" customHeight="1" x14ac:dyDescent="0.2">
      <c r="A102" s="15"/>
      <c r="B102" s="15"/>
      <c r="C102" s="15"/>
      <c r="D102" s="15"/>
      <c r="E102" s="15"/>
      <c r="F102" s="15"/>
      <c r="G102" s="15"/>
      <c r="H102" s="15"/>
      <c r="I102" s="24"/>
      <c r="J102" s="24"/>
      <c r="K102" s="24"/>
      <c r="L102" s="24"/>
      <c r="M102" s="81"/>
      <c r="N102" s="81"/>
      <c r="O102" s="81"/>
      <c r="P102" s="81"/>
      <c r="Q102" s="81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</row>
    <row r="103" spans="1:38" ht="19.5" customHeight="1" x14ac:dyDescent="0.2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</row>
    <row r="104" spans="1:38" ht="12.75" customHeight="1" x14ac:dyDescent="0.2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</row>
    <row r="105" spans="1:38" ht="12.75" customHeight="1" x14ac:dyDescent="0.2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</row>
    <row r="106" spans="1:38" ht="12.75" customHeight="1" x14ac:dyDescent="0.2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</row>
    <row r="107" spans="1:38" ht="12.75" customHeight="1" x14ac:dyDescent="0.2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</row>
    <row r="108" spans="1:38" ht="12.75" customHeight="1" x14ac:dyDescent="0.2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</row>
    <row r="109" spans="1:38" ht="12.75" customHeight="1" x14ac:dyDescent="0.2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</row>
    <row r="110" spans="1:38" ht="12.75" customHeight="1" x14ac:dyDescent="0.2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</row>
    <row r="111" spans="1:38" ht="12.75" customHeight="1" x14ac:dyDescent="0.2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</row>
    <row r="112" spans="1:38" ht="12.75" customHeight="1" x14ac:dyDescent="0.2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</row>
    <row r="113" spans="1:38" ht="12.75" customHeight="1" x14ac:dyDescent="0.2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</row>
    <row r="114" spans="1:38" ht="12.75" customHeight="1" x14ac:dyDescent="0.2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</row>
    <row r="115" spans="1:38" ht="12.75" customHeight="1" x14ac:dyDescent="0.2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</row>
    <row r="116" spans="1:38" ht="12.75" customHeight="1" x14ac:dyDescent="0.2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</row>
    <row r="117" spans="1:38" ht="12.75" customHeight="1" x14ac:dyDescent="0.2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</row>
    <row r="118" spans="1:38" ht="12.75" customHeight="1" x14ac:dyDescent="0.2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</row>
    <row r="119" spans="1:38" ht="12.75" customHeight="1" x14ac:dyDescent="0.2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</row>
    <row r="120" spans="1:38" ht="12.75" customHeight="1" x14ac:dyDescent="0.2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</row>
    <row r="121" spans="1:38" ht="12.75" customHeight="1" x14ac:dyDescent="0.2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</row>
    <row r="122" spans="1:38" ht="12.75" customHeight="1" x14ac:dyDescent="0.2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</row>
    <row r="123" spans="1:38" ht="12.75" customHeight="1" x14ac:dyDescent="0.2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</row>
    <row r="124" spans="1:38" ht="12.75" customHeight="1" x14ac:dyDescent="0.2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</row>
    <row r="125" spans="1:38" ht="12.75" customHeight="1" x14ac:dyDescent="0.2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</row>
    <row r="126" spans="1:38" ht="12.75" customHeight="1" x14ac:dyDescent="0.2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</row>
    <row r="127" spans="1:38" ht="12.75" customHeight="1" x14ac:dyDescent="0.2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</row>
    <row r="128" spans="1:38" ht="12.75" customHeight="1" x14ac:dyDescent="0.2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</row>
    <row r="129" spans="1:38" ht="12.75" customHeight="1" x14ac:dyDescent="0.2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</row>
    <row r="130" spans="1:38" ht="12.75" customHeight="1" x14ac:dyDescent="0.2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</row>
    <row r="131" spans="1:38" ht="12.75" customHeight="1" x14ac:dyDescent="0.2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</row>
    <row r="132" spans="1:38" ht="12.75" customHeight="1" x14ac:dyDescent="0.2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</row>
    <row r="133" spans="1:38" ht="12.75" customHeight="1" x14ac:dyDescent="0.2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</row>
    <row r="134" spans="1:38" ht="12.75" customHeight="1" x14ac:dyDescent="0.2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</row>
    <row r="135" spans="1:38" ht="12.75" customHeight="1" x14ac:dyDescent="0.2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</row>
    <row r="136" spans="1:38" ht="12.75" customHeight="1" x14ac:dyDescent="0.2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</row>
    <row r="137" spans="1:38" ht="12.75" customHeight="1" x14ac:dyDescent="0.2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</row>
    <row r="138" spans="1:38" ht="12.75" customHeight="1" x14ac:dyDescent="0.2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</row>
    <row r="139" spans="1:38" ht="12.75" customHeight="1" x14ac:dyDescent="0.2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</row>
    <row r="140" spans="1:38" ht="12.75" customHeight="1" x14ac:dyDescent="0.2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</row>
    <row r="141" spans="1:38" ht="12.75" customHeight="1" x14ac:dyDescent="0.2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</row>
    <row r="142" spans="1:38" ht="12.75" customHeight="1" x14ac:dyDescent="0.2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</row>
    <row r="143" spans="1:38" ht="12.75" customHeight="1" x14ac:dyDescent="0.2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</row>
    <row r="144" spans="1:38" ht="12.75" customHeight="1" x14ac:dyDescent="0.2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</row>
    <row r="145" spans="1:38" ht="12.75" customHeight="1" x14ac:dyDescent="0.2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</row>
    <row r="146" spans="1:38" ht="12.75" customHeight="1" x14ac:dyDescent="0.2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</row>
    <row r="147" spans="1:38" ht="12.75" customHeight="1" x14ac:dyDescent="0.2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</row>
    <row r="148" spans="1:38" ht="12.75" customHeight="1" x14ac:dyDescent="0.2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</row>
    <row r="149" spans="1:38" ht="12.75" customHeight="1" x14ac:dyDescent="0.2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</row>
    <row r="150" spans="1:38" ht="12.75" customHeight="1" x14ac:dyDescent="0.2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</row>
    <row r="151" spans="1:38" ht="12.75" customHeight="1" x14ac:dyDescent="0.2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</row>
    <row r="152" spans="1:38" ht="12.75" customHeight="1" x14ac:dyDescent="0.2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</row>
    <row r="153" spans="1:38" ht="12.75" customHeight="1" x14ac:dyDescent="0.2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</row>
    <row r="154" spans="1:38" ht="12.75" customHeight="1" x14ac:dyDescent="0.2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</row>
    <row r="155" spans="1:38" ht="12.75" customHeight="1" x14ac:dyDescent="0.2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</row>
    <row r="156" spans="1:38" ht="12.75" customHeight="1" x14ac:dyDescent="0.2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</row>
    <row r="157" spans="1:38" ht="12.75" customHeight="1" x14ac:dyDescent="0.2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</row>
    <row r="158" spans="1:38" ht="12.75" customHeight="1" x14ac:dyDescent="0.2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</row>
    <row r="159" spans="1:38" ht="12.75" customHeight="1" x14ac:dyDescent="0.2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</row>
    <row r="160" spans="1:38" ht="12.75" customHeight="1" x14ac:dyDescent="0.2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</row>
    <row r="161" spans="1:38" ht="12.7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</row>
    <row r="162" spans="1:38" ht="12.7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</row>
    <row r="163" spans="1:38" ht="12.75" customHeight="1" x14ac:dyDescent="0.2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</row>
    <row r="164" spans="1:38" ht="12.75" customHeight="1" x14ac:dyDescent="0.2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</row>
    <row r="165" spans="1:38" ht="12.75" customHeight="1" x14ac:dyDescent="0.2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</row>
    <row r="166" spans="1:38" ht="12.75" customHeight="1" x14ac:dyDescent="0.2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</row>
    <row r="167" spans="1:38" ht="12.75" customHeight="1" x14ac:dyDescent="0.2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</row>
    <row r="168" spans="1:38" ht="12.75" customHeight="1" x14ac:dyDescent="0.2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</row>
    <row r="169" spans="1:38" ht="12.75" customHeight="1" x14ac:dyDescent="0.2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</row>
    <row r="170" spans="1:38" ht="12.75" customHeight="1" x14ac:dyDescent="0.2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</row>
    <row r="171" spans="1:38" ht="12.75" customHeight="1" x14ac:dyDescent="0.2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</row>
    <row r="172" spans="1:38" ht="12.75" customHeight="1" x14ac:dyDescent="0.2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</row>
    <row r="173" spans="1:38" ht="12.75" customHeight="1" x14ac:dyDescent="0.2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</row>
    <row r="174" spans="1:38" ht="12.75" customHeight="1" x14ac:dyDescent="0.2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</row>
    <row r="175" spans="1:38" ht="12.75" customHeight="1" x14ac:dyDescent="0.2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</row>
    <row r="176" spans="1:38" ht="12.75" customHeight="1" x14ac:dyDescent="0.2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</row>
    <row r="177" spans="1:38" ht="12.75" customHeight="1" x14ac:dyDescent="0.2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</row>
    <row r="178" spans="1:38" ht="12.75" customHeight="1" x14ac:dyDescent="0.2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</row>
    <row r="179" spans="1:38" ht="12.75" customHeight="1" x14ac:dyDescent="0.2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</row>
    <row r="180" spans="1:38" ht="12.75" customHeight="1" x14ac:dyDescent="0.2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</row>
    <row r="181" spans="1:38" ht="12.75" customHeight="1" x14ac:dyDescent="0.2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</row>
    <row r="182" spans="1:38" ht="12.75" customHeight="1" x14ac:dyDescent="0.2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</row>
    <row r="183" spans="1:38" ht="12.75" customHeight="1" x14ac:dyDescent="0.2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</row>
    <row r="184" spans="1:38" ht="12.75" customHeight="1" x14ac:dyDescent="0.2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</row>
    <row r="185" spans="1:38" ht="12.75" customHeight="1" x14ac:dyDescent="0.2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</row>
    <row r="186" spans="1:38" ht="12.7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</row>
    <row r="187" spans="1:38" ht="12.75" customHeight="1" x14ac:dyDescent="0.2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</row>
    <row r="188" spans="1:38" ht="12.75" customHeight="1" x14ac:dyDescent="0.2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</row>
    <row r="189" spans="1:38" ht="12.75" customHeight="1" x14ac:dyDescent="0.2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</row>
    <row r="190" spans="1:38" ht="12.75" customHeight="1" x14ac:dyDescent="0.2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</row>
    <row r="191" spans="1:38" ht="12.75" customHeight="1" x14ac:dyDescent="0.2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</row>
    <row r="192" spans="1:38" ht="12.75" customHeight="1" x14ac:dyDescent="0.2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</row>
    <row r="193" spans="1:38" ht="12.75" customHeight="1" x14ac:dyDescent="0.2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</row>
    <row r="194" spans="1:38" ht="12.75" customHeight="1" x14ac:dyDescent="0.2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</row>
    <row r="195" spans="1:38" ht="12.75" customHeight="1" x14ac:dyDescent="0.2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</row>
    <row r="196" spans="1:38" ht="12.75" customHeight="1" x14ac:dyDescent="0.2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</row>
    <row r="197" spans="1:38" ht="12.75" customHeight="1" x14ac:dyDescent="0.2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</row>
    <row r="198" spans="1:38" ht="12.75" customHeight="1" x14ac:dyDescent="0.2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</row>
    <row r="199" spans="1:38" ht="12.75" customHeight="1" x14ac:dyDescent="0.2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</row>
    <row r="200" spans="1:38" ht="12.75" customHeight="1" x14ac:dyDescent="0.2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</row>
    <row r="201" spans="1:38" ht="12.75" customHeight="1" x14ac:dyDescent="0.2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</row>
    <row r="202" spans="1:38" ht="12.75" customHeight="1" x14ac:dyDescent="0.2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</row>
    <row r="203" spans="1:38" ht="12.75" customHeight="1" x14ac:dyDescent="0.2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</row>
    <row r="204" spans="1:38" ht="12.75" customHeight="1" x14ac:dyDescent="0.2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</row>
    <row r="205" spans="1:38" ht="12.75" customHeight="1" x14ac:dyDescent="0.2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</row>
    <row r="206" spans="1:38" ht="12.75" customHeight="1" x14ac:dyDescent="0.2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</row>
    <row r="207" spans="1:38" ht="12.75" customHeight="1" x14ac:dyDescent="0.2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</row>
    <row r="208" spans="1:38" ht="12.75" customHeight="1" x14ac:dyDescent="0.2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</row>
    <row r="209" spans="1:38" ht="12.75" customHeight="1" x14ac:dyDescent="0.2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</row>
    <row r="210" spans="1:38" ht="12.75" customHeight="1" x14ac:dyDescent="0.2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</row>
    <row r="211" spans="1:38" ht="12.75" customHeight="1" x14ac:dyDescent="0.2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</row>
    <row r="212" spans="1:38" ht="12.75" customHeight="1" x14ac:dyDescent="0.2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</row>
    <row r="213" spans="1:38" ht="12.75" customHeight="1" x14ac:dyDescent="0.2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</row>
    <row r="214" spans="1:38" ht="12.75" customHeight="1" x14ac:dyDescent="0.2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</row>
    <row r="215" spans="1:38" ht="12.75" customHeight="1" x14ac:dyDescent="0.2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</row>
    <row r="216" spans="1:38" ht="12.75" customHeight="1" x14ac:dyDescent="0.2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</row>
    <row r="217" spans="1:38" ht="12.75" customHeight="1" x14ac:dyDescent="0.2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</row>
    <row r="218" spans="1:38" ht="12.7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</row>
    <row r="219" spans="1:38" ht="12.75" customHeight="1" x14ac:dyDescent="0.2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</row>
    <row r="220" spans="1:38" ht="12.75" customHeight="1" x14ac:dyDescent="0.2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</row>
    <row r="221" spans="1:38" ht="12.75" customHeight="1" x14ac:dyDescent="0.2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</row>
    <row r="222" spans="1:38" ht="12.75" customHeight="1" x14ac:dyDescent="0.2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</row>
    <row r="223" spans="1:38" ht="12.75" customHeight="1" x14ac:dyDescent="0.2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</row>
    <row r="224" spans="1:38" ht="12.75" customHeight="1" x14ac:dyDescent="0.2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</row>
    <row r="225" spans="1:38" ht="12.75" customHeight="1" x14ac:dyDescent="0.2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</row>
    <row r="226" spans="1:38" ht="12.75" customHeight="1" x14ac:dyDescent="0.2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</row>
    <row r="227" spans="1:38" ht="12.75" customHeight="1" x14ac:dyDescent="0.2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</row>
    <row r="228" spans="1:38" ht="12.75" customHeight="1" x14ac:dyDescent="0.2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</row>
    <row r="229" spans="1:38" ht="12.75" customHeight="1" x14ac:dyDescent="0.2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</row>
    <row r="230" spans="1:38" ht="12.75" customHeight="1" x14ac:dyDescent="0.2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</row>
    <row r="231" spans="1:38" ht="12.75" customHeight="1" x14ac:dyDescent="0.2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</row>
    <row r="232" spans="1:38" ht="12.75" customHeight="1" x14ac:dyDescent="0.2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</row>
    <row r="233" spans="1:38" ht="12.75" customHeight="1" x14ac:dyDescent="0.2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</row>
    <row r="234" spans="1:38" ht="12.7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</row>
    <row r="235" spans="1:38" ht="12.75" customHeight="1" x14ac:dyDescent="0.2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</row>
    <row r="236" spans="1:38" ht="12.75" customHeight="1" x14ac:dyDescent="0.2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</row>
    <row r="237" spans="1:38" ht="12.75" customHeight="1" x14ac:dyDescent="0.2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</row>
    <row r="238" spans="1:38" ht="12.75" customHeight="1" x14ac:dyDescent="0.2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</row>
    <row r="239" spans="1:38" ht="12.75" customHeight="1" x14ac:dyDescent="0.2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</row>
    <row r="240" spans="1:38" ht="12.75" customHeight="1" x14ac:dyDescent="0.2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</row>
    <row r="241" spans="1:38" ht="12.75" customHeight="1" x14ac:dyDescent="0.2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</row>
    <row r="242" spans="1:38" ht="12.75" customHeight="1" x14ac:dyDescent="0.2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</row>
    <row r="243" spans="1:38" ht="12.75" customHeight="1" x14ac:dyDescent="0.2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</row>
    <row r="244" spans="1:38" ht="12.75" customHeight="1" x14ac:dyDescent="0.2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</row>
    <row r="245" spans="1:38" ht="12.75" customHeight="1" x14ac:dyDescent="0.2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</row>
    <row r="246" spans="1:38" ht="12.75" customHeight="1" x14ac:dyDescent="0.2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</row>
    <row r="247" spans="1:38" ht="12.75" customHeight="1" x14ac:dyDescent="0.2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</row>
    <row r="248" spans="1:38" ht="12.75" customHeight="1" x14ac:dyDescent="0.2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</row>
    <row r="249" spans="1:38" ht="12.75" customHeight="1" x14ac:dyDescent="0.2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</row>
    <row r="250" spans="1:38" ht="12.7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</row>
    <row r="251" spans="1:38" ht="12.75" customHeight="1" x14ac:dyDescent="0.2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</row>
    <row r="252" spans="1:38" ht="12.75" customHeight="1" x14ac:dyDescent="0.2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</row>
    <row r="253" spans="1:38" ht="12.75" customHeight="1" x14ac:dyDescent="0.2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</row>
    <row r="254" spans="1:38" ht="12.75" customHeight="1" x14ac:dyDescent="0.2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</row>
    <row r="255" spans="1:38" ht="12.75" customHeight="1" x14ac:dyDescent="0.2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</row>
    <row r="256" spans="1:38" ht="12.75" customHeight="1" x14ac:dyDescent="0.2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</row>
    <row r="257" spans="1:38" ht="12.75" customHeight="1" x14ac:dyDescent="0.2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</row>
    <row r="258" spans="1:38" ht="12.75" customHeight="1" x14ac:dyDescent="0.2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</row>
    <row r="259" spans="1:38" ht="12.75" customHeight="1" x14ac:dyDescent="0.2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</row>
    <row r="260" spans="1:38" ht="12.75" customHeight="1" x14ac:dyDescent="0.2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</row>
    <row r="261" spans="1:38" ht="12.75" customHeight="1" x14ac:dyDescent="0.2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</row>
    <row r="262" spans="1:38" ht="12.75" customHeight="1" x14ac:dyDescent="0.2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</row>
    <row r="263" spans="1:38" ht="12.75" customHeight="1" x14ac:dyDescent="0.2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</row>
    <row r="264" spans="1:38" ht="12.75" customHeight="1" x14ac:dyDescent="0.2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</row>
    <row r="265" spans="1:38" ht="12.75" customHeight="1" x14ac:dyDescent="0.2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</row>
    <row r="266" spans="1:38" ht="12.75" customHeight="1" x14ac:dyDescent="0.2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</row>
    <row r="267" spans="1:38" ht="12.75" customHeight="1" x14ac:dyDescent="0.2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</row>
    <row r="268" spans="1:38" ht="12.75" customHeight="1" x14ac:dyDescent="0.2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</row>
    <row r="269" spans="1:38" ht="12.75" customHeight="1" x14ac:dyDescent="0.2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</row>
    <row r="270" spans="1:38" ht="12.75" customHeight="1" x14ac:dyDescent="0.2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</row>
    <row r="271" spans="1:38" ht="12.75" customHeight="1" x14ac:dyDescent="0.2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</row>
    <row r="272" spans="1:38" ht="12.75" customHeight="1" x14ac:dyDescent="0.2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</row>
    <row r="273" spans="1:38" ht="12.75" customHeight="1" x14ac:dyDescent="0.2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</row>
    <row r="274" spans="1:38" ht="12.75" customHeight="1" x14ac:dyDescent="0.2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</row>
    <row r="275" spans="1:38" ht="12.75" customHeight="1" x14ac:dyDescent="0.2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</row>
    <row r="276" spans="1:38" ht="12.75" customHeight="1" x14ac:dyDescent="0.2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</row>
    <row r="277" spans="1:38" ht="12.75" customHeight="1" x14ac:dyDescent="0.2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</row>
    <row r="278" spans="1:38" ht="12.75" customHeight="1" x14ac:dyDescent="0.2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</row>
    <row r="279" spans="1:38" ht="12.75" customHeight="1" x14ac:dyDescent="0.2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</row>
    <row r="280" spans="1:38" ht="12.75" customHeight="1" x14ac:dyDescent="0.2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</row>
    <row r="281" spans="1:38" ht="12.7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</row>
    <row r="282" spans="1:38" ht="12.7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</row>
    <row r="283" spans="1:38" ht="12.7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</row>
    <row r="284" spans="1:38" ht="12.7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</row>
    <row r="285" spans="1:38" ht="12.75" customHeight="1" x14ac:dyDescent="0.2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</row>
    <row r="286" spans="1:38" ht="12.75" customHeight="1" x14ac:dyDescent="0.2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</row>
    <row r="287" spans="1:38" ht="12.75" customHeight="1" x14ac:dyDescent="0.2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</row>
    <row r="288" spans="1:38" ht="12.75" customHeight="1" x14ac:dyDescent="0.2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</row>
    <row r="289" spans="1:38" ht="12.75" customHeight="1" x14ac:dyDescent="0.2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</row>
    <row r="290" spans="1:38" ht="12.75" customHeight="1" x14ac:dyDescent="0.2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</row>
    <row r="291" spans="1:38" ht="12.7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</row>
    <row r="292" spans="1:38" ht="12.7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</row>
    <row r="293" spans="1:38" ht="12.75" customHeight="1" x14ac:dyDescent="0.2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</row>
    <row r="294" spans="1:38" ht="12.75" customHeight="1" x14ac:dyDescent="0.2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</row>
    <row r="295" spans="1:38" ht="12.75" customHeight="1" x14ac:dyDescent="0.2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</row>
    <row r="296" spans="1:38" ht="12.75" customHeight="1" x14ac:dyDescent="0.2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</row>
    <row r="297" spans="1:38" ht="12.75" customHeight="1" x14ac:dyDescent="0.2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</row>
    <row r="298" spans="1:38" ht="12.75" customHeight="1" x14ac:dyDescent="0.2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</row>
    <row r="299" spans="1:38" ht="12.75" customHeight="1" x14ac:dyDescent="0.2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</row>
    <row r="300" spans="1:38" ht="12.75" customHeight="1" x14ac:dyDescent="0.2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</row>
    <row r="301" spans="1:38" ht="12.75" customHeight="1" x14ac:dyDescent="0.2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</row>
    <row r="302" spans="1:38" ht="12.75" customHeight="1" x14ac:dyDescent="0.2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</row>
    <row r="303" spans="1:38" ht="12.75" customHeight="1" x14ac:dyDescent="0.2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</row>
    <row r="304" spans="1:38" ht="12.75" customHeight="1" x14ac:dyDescent="0.2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</row>
    <row r="305" spans="1:38" ht="12.75" customHeight="1" x14ac:dyDescent="0.2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</row>
    <row r="306" spans="1:38" ht="12.75" customHeight="1" x14ac:dyDescent="0.2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</row>
    <row r="307" spans="1:38" ht="12.75" customHeight="1" x14ac:dyDescent="0.2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</row>
    <row r="308" spans="1:38" ht="12.75" customHeight="1" x14ac:dyDescent="0.2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</row>
    <row r="309" spans="1:38" ht="12.75" customHeight="1" x14ac:dyDescent="0.2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</row>
    <row r="310" spans="1:38" ht="12.75" customHeight="1" x14ac:dyDescent="0.2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</row>
    <row r="311" spans="1:38" ht="12.75" customHeight="1" x14ac:dyDescent="0.2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</row>
    <row r="312" spans="1:38" ht="12.75" customHeight="1" x14ac:dyDescent="0.2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</row>
    <row r="313" spans="1:38" ht="12.75" customHeight="1" x14ac:dyDescent="0.2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</row>
    <row r="314" spans="1:38" ht="12.75" customHeight="1" x14ac:dyDescent="0.2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</row>
    <row r="315" spans="1:38" ht="12.75" customHeight="1" x14ac:dyDescent="0.2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</row>
    <row r="316" spans="1:38" ht="12.75" customHeight="1" x14ac:dyDescent="0.2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</row>
    <row r="317" spans="1:38" ht="12.75" customHeight="1" x14ac:dyDescent="0.2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</row>
    <row r="318" spans="1:38" ht="12.75" customHeight="1" x14ac:dyDescent="0.2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</row>
    <row r="319" spans="1:38" ht="12.75" customHeight="1" x14ac:dyDescent="0.2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</row>
    <row r="320" spans="1:38" ht="12.75" customHeight="1" x14ac:dyDescent="0.2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</row>
    <row r="321" spans="1:38" ht="12.75" customHeight="1" x14ac:dyDescent="0.2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</row>
    <row r="322" spans="1:38" ht="12.75" customHeight="1" x14ac:dyDescent="0.2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</row>
    <row r="323" spans="1:38" ht="12.75" customHeight="1" x14ac:dyDescent="0.2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</row>
    <row r="324" spans="1:38" ht="12.75" customHeight="1" x14ac:dyDescent="0.2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</row>
    <row r="325" spans="1:38" ht="12.75" customHeight="1" x14ac:dyDescent="0.2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</row>
    <row r="326" spans="1:38" ht="12.75" customHeight="1" x14ac:dyDescent="0.2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</row>
    <row r="327" spans="1:38" ht="12.75" customHeight="1" x14ac:dyDescent="0.2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</row>
    <row r="328" spans="1:38" ht="12.75" customHeight="1" x14ac:dyDescent="0.2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</row>
    <row r="329" spans="1:38" ht="12.75" customHeight="1" x14ac:dyDescent="0.2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</row>
    <row r="330" spans="1:38" ht="12.75" customHeight="1" x14ac:dyDescent="0.2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</row>
    <row r="331" spans="1:38" ht="12.75" customHeight="1" x14ac:dyDescent="0.2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</row>
    <row r="332" spans="1:38" ht="12.75" customHeight="1" x14ac:dyDescent="0.2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</row>
    <row r="333" spans="1:38" ht="12.75" customHeight="1" x14ac:dyDescent="0.2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</row>
    <row r="334" spans="1:38" ht="12.75" customHeight="1" x14ac:dyDescent="0.2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</row>
    <row r="335" spans="1:38" ht="12.75" customHeight="1" x14ac:dyDescent="0.2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</row>
    <row r="336" spans="1:38" ht="12.75" customHeight="1" x14ac:dyDescent="0.2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</row>
    <row r="337" spans="1:38" ht="12.75" customHeight="1" x14ac:dyDescent="0.2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</row>
    <row r="338" spans="1:38" ht="12.75" customHeight="1" x14ac:dyDescent="0.2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</row>
    <row r="339" spans="1:38" ht="12.75" customHeight="1" x14ac:dyDescent="0.2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</row>
    <row r="340" spans="1:38" ht="12.75" customHeight="1" x14ac:dyDescent="0.2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</row>
    <row r="341" spans="1:38" ht="12.75" customHeight="1" x14ac:dyDescent="0.2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</row>
    <row r="342" spans="1:38" ht="12.75" customHeight="1" x14ac:dyDescent="0.2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</row>
    <row r="343" spans="1:38" ht="12.75" customHeight="1" x14ac:dyDescent="0.2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</row>
    <row r="344" spans="1:38" ht="12.75" customHeight="1" x14ac:dyDescent="0.2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</row>
    <row r="345" spans="1:38" ht="12.75" customHeight="1" x14ac:dyDescent="0.2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</row>
    <row r="346" spans="1:38" ht="12.75" customHeight="1" x14ac:dyDescent="0.2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</row>
    <row r="347" spans="1:38" ht="12.75" customHeight="1" x14ac:dyDescent="0.2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</row>
    <row r="348" spans="1:38" ht="12.75" customHeight="1" x14ac:dyDescent="0.2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</row>
    <row r="349" spans="1:38" ht="12.75" customHeight="1" x14ac:dyDescent="0.2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</row>
    <row r="350" spans="1:38" ht="12.75" customHeight="1" x14ac:dyDescent="0.2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</row>
    <row r="351" spans="1:38" ht="12.75" customHeight="1" x14ac:dyDescent="0.2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</row>
    <row r="352" spans="1:38" ht="12.75" customHeight="1" x14ac:dyDescent="0.2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</row>
    <row r="353" spans="1:38" ht="12.75" customHeight="1" x14ac:dyDescent="0.2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</row>
    <row r="354" spans="1:38" ht="12.75" customHeight="1" x14ac:dyDescent="0.2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</row>
    <row r="355" spans="1:38" ht="12.75" customHeight="1" x14ac:dyDescent="0.2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</row>
    <row r="356" spans="1:38" ht="12.75" customHeight="1" x14ac:dyDescent="0.2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</row>
    <row r="357" spans="1:38" ht="12.75" customHeight="1" x14ac:dyDescent="0.2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</row>
    <row r="358" spans="1:38" ht="12.75" customHeight="1" x14ac:dyDescent="0.2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</row>
    <row r="359" spans="1:38" ht="12.75" customHeight="1" x14ac:dyDescent="0.2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</row>
    <row r="360" spans="1:38" ht="12.75" customHeight="1" x14ac:dyDescent="0.2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</row>
    <row r="361" spans="1:38" ht="12.75" customHeight="1" x14ac:dyDescent="0.2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</row>
    <row r="362" spans="1:38" ht="12.75" customHeight="1" x14ac:dyDescent="0.2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</row>
    <row r="363" spans="1:38" ht="12.75" customHeight="1" x14ac:dyDescent="0.2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</row>
    <row r="364" spans="1:38" ht="12.75" customHeight="1" x14ac:dyDescent="0.2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</row>
    <row r="365" spans="1:38" ht="12.75" customHeight="1" x14ac:dyDescent="0.2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</row>
    <row r="366" spans="1:38" ht="12.75" customHeight="1" x14ac:dyDescent="0.2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</row>
    <row r="367" spans="1:38" ht="12.75" customHeight="1" x14ac:dyDescent="0.2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</row>
    <row r="368" spans="1:38" ht="12.75" customHeight="1" x14ac:dyDescent="0.2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</row>
    <row r="369" spans="1:38" ht="12.75" customHeight="1" x14ac:dyDescent="0.2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</row>
    <row r="370" spans="1:38" ht="12.75" customHeight="1" x14ac:dyDescent="0.2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</row>
    <row r="371" spans="1:38" ht="12.75" customHeight="1" x14ac:dyDescent="0.2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</row>
    <row r="372" spans="1:38" ht="12.75" customHeight="1" x14ac:dyDescent="0.2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</row>
    <row r="373" spans="1:38" ht="12.75" customHeight="1" x14ac:dyDescent="0.2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</row>
    <row r="374" spans="1:38" ht="12.75" customHeight="1" x14ac:dyDescent="0.2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</row>
    <row r="375" spans="1:38" ht="12.75" customHeight="1" x14ac:dyDescent="0.2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</row>
    <row r="376" spans="1:38" ht="12.75" customHeight="1" x14ac:dyDescent="0.2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</row>
    <row r="377" spans="1:38" ht="12.75" customHeight="1" x14ac:dyDescent="0.2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</row>
    <row r="378" spans="1:38" ht="12.75" customHeight="1" x14ac:dyDescent="0.2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</row>
    <row r="379" spans="1:38" ht="12.75" customHeight="1" x14ac:dyDescent="0.2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</row>
    <row r="380" spans="1:38" ht="12.75" customHeight="1" x14ac:dyDescent="0.2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</row>
    <row r="381" spans="1:38" ht="12.75" customHeight="1" x14ac:dyDescent="0.2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</row>
    <row r="382" spans="1:38" ht="12.75" customHeight="1" x14ac:dyDescent="0.2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</row>
    <row r="383" spans="1:38" ht="12.75" customHeight="1" x14ac:dyDescent="0.2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</row>
    <row r="384" spans="1:38" ht="12.75" customHeight="1" x14ac:dyDescent="0.2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</row>
    <row r="385" spans="1:38" ht="12.75" customHeight="1" x14ac:dyDescent="0.2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</row>
    <row r="386" spans="1:38" ht="12.75" customHeight="1" x14ac:dyDescent="0.2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</row>
    <row r="387" spans="1:38" ht="12.75" customHeight="1" x14ac:dyDescent="0.2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</row>
    <row r="388" spans="1:38" ht="12.75" customHeight="1" x14ac:dyDescent="0.2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</row>
    <row r="389" spans="1:38" ht="12.75" customHeight="1" x14ac:dyDescent="0.2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</row>
    <row r="390" spans="1:38" ht="12.75" customHeight="1" x14ac:dyDescent="0.2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</row>
    <row r="391" spans="1:38" ht="12.75" customHeight="1" x14ac:dyDescent="0.2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</row>
    <row r="392" spans="1:38" ht="12.75" customHeight="1" x14ac:dyDescent="0.2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</row>
    <row r="393" spans="1:38" ht="12.75" customHeight="1" x14ac:dyDescent="0.2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</row>
    <row r="394" spans="1:38" ht="12.75" customHeight="1" x14ac:dyDescent="0.2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</row>
    <row r="395" spans="1:38" ht="12.75" customHeight="1" x14ac:dyDescent="0.2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</row>
    <row r="396" spans="1:38" ht="12.75" customHeight="1" x14ac:dyDescent="0.2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</row>
    <row r="397" spans="1:38" ht="12.75" customHeight="1" x14ac:dyDescent="0.2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</row>
    <row r="398" spans="1:38" ht="12.75" customHeight="1" x14ac:dyDescent="0.2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</row>
    <row r="399" spans="1:38" ht="12.75" customHeight="1" x14ac:dyDescent="0.2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</row>
    <row r="400" spans="1:38" ht="12.75" customHeight="1" x14ac:dyDescent="0.2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</row>
    <row r="401" spans="1:38" ht="12.75" customHeight="1" x14ac:dyDescent="0.2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</row>
    <row r="402" spans="1:38" ht="12.75" customHeight="1" x14ac:dyDescent="0.2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</row>
    <row r="403" spans="1:38" ht="12.75" customHeight="1" x14ac:dyDescent="0.2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</row>
    <row r="404" spans="1:38" ht="12.75" customHeight="1" x14ac:dyDescent="0.2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</row>
    <row r="405" spans="1:38" ht="12.75" customHeight="1" x14ac:dyDescent="0.2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</row>
    <row r="406" spans="1:38" ht="12.75" customHeight="1" x14ac:dyDescent="0.2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</row>
    <row r="407" spans="1:38" ht="12.75" customHeight="1" x14ac:dyDescent="0.2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</row>
    <row r="408" spans="1:38" ht="12.75" customHeight="1" x14ac:dyDescent="0.2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</row>
    <row r="409" spans="1:38" ht="12.75" customHeight="1" x14ac:dyDescent="0.2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</row>
    <row r="410" spans="1:38" ht="12.75" customHeight="1" x14ac:dyDescent="0.2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</row>
    <row r="411" spans="1:38" ht="12.75" customHeight="1" x14ac:dyDescent="0.2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</row>
    <row r="412" spans="1:38" ht="12.75" customHeight="1" x14ac:dyDescent="0.2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</row>
    <row r="413" spans="1:38" ht="12.75" customHeight="1" x14ac:dyDescent="0.2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</row>
    <row r="414" spans="1:38" ht="12.75" customHeight="1" x14ac:dyDescent="0.2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</row>
    <row r="415" spans="1:38" ht="12.75" customHeight="1" x14ac:dyDescent="0.2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</row>
    <row r="416" spans="1:38" ht="12.75" customHeight="1" x14ac:dyDescent="0.2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</row>
    <row r="417" spans="1:38" ht="12.75" customHeight="1" x14ac:dyDescent="0.2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</row>
    <row r="418" spans="1:38" ht="12.75" customHeight="1" x14ac:dyDescent="0.2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</row>
    <row r="419" spans="1:38" ht="12.75" customHeight="1" x14ac:dyDescent="0.2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</row>
    <row r="420" spans="1:38" ht="12.75" customHeight="1" x14ac:dyDescent="0.2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</row>
    <row r="421" spans="1:38" ht="12.75" customHeight="1" x14ac:dyDescent="0.2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</row>
    <row r="422" spans="1:38" ht="12.75" customHeight="1" x14ac:dyDescent="0.2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</row>
    <row r="423" spans="1:38" ht="12.75" customHeight="1" x14ac:dyDescent="0.2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</row>
    <row r="424" spans="1:38" ht="12.75" customHeight="1" x14ac:dyDescent="0.2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</row>
    <row r="425" spans="1:38" ht="12.75" customHeight="1" x14ac:dyDescent="0.2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</row>
    <row r="426" spans="1:38" ht="12.75" customHeight="1" x14ac:dyDescent="0.2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</row>
    <row r="427" spans="1:38" ht="12.75" customHeight="1" x14ac:dyDescent="0.2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</row>
    <row r="428" spans="1:38" ht="12.75" customHeight="1" x14ac:dyDescent="0.2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</row>
    <row r="429" spans="1:38" ht="12.75" customHeight="1" x14ac:dyDescent="0.2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</row>
    <row r="430" spans="1:38" ht="12.75" customHeight="1" x14ac:dyDescent="0.2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</row>
    <row r="431" spans="1:38" ht="12.75" customHeight="1" x14ac:dyDescent="0.2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</row>
    <row r="432" spans="1:38" ht="12.75" customHeight="1" x14ac:dyDescent="0.2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</row>
    <row r="433" spans="1:38" ht="12.75" customHeight="1" x14ac:dyDescent="0.2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</row>
    <row r="434" spans="1:38" ht="12.75" customHeight="1" x14ac:dyDescent="0.2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</row>
    <row r="435" spans="1:38" ht="12.75" customHeight="1" x14ac:dyDescent="0.2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</row>
    <row r="436" spans="1:38" ht="12.75" customHeight="1" x14ac:dyDescent="0.2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</row>
    <row r="437" spans="1:38" ht="12.75" customHeight="1" x14ac:dyDescent="0.2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</row>
    <row r="438" spans="1:38" ht="12.75" customHeight="1" x14ac:dyDescent="0.2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</row>
    <row r="439" spans="1:38" ht="12.75" customHeight="1" x14ac:dyDescent="0.2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</row>
    <row r="440" spans="1:38" ht="12.75" customHeight="1" x14ac:dyDescent="0.2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</row>
    <row r="441" spans="1:38" ht="12.75" customHeight="1" x14ac:dyDescent="0.2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</row>
    <row r="442" spans="1:38" ht="12.75" customHeight="1" x14ac:dyDescent="0.2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</row>
    <row r="443" spans="1:38" ht="12.75" customHeight="1" x14ac:dyDescent="0.2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</row>
    <row r="444" spans="1:38" ht="12.75" customHeight="1" x14ac:dyDescent="0.2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</row>
    <row r="445" spans="1:38" ht="12.75" customHeight="1" x14ac:dyDescent="0.2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</row>
    <row r="446" spans="1:38" ht="12.75" customHeight="1" x14ac:dyDescent="0.2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</row>
    <row r="447" spans="1:38" ht="12.75" customHeight="1" x14ac:dyDescent="0.2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</row>
    <row r="448" spans="1:38" ht="12.75" customHeight="1" x14ac:dyDescent="0.2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</row>
    <row r="449" spans="1:38" ht="12.75" customHeight="1" x14ac:dyDescent="0.2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</row>
    <row r="450" spans="1:38" ht="12.75" customHeight="1" x14ac:dyDescent="0.2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</row>
    <row r="451" spans="1:38" ht="12.75" customHeight="1" x14ac:dyDescent="0.2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</row>
    <row r="452" spans="1:38" ht="12.75" customHeight="1" x14ac:dyDescent="0.2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</row>
    <row r="453" spans="1:38" ht="12.75" customHeight="1" x14ac:dyDescent="0.2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</row>
    <row r="454" spans="1:38" ht="12.75" customHeight="1" x14ac:dyDescent="0.2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</row>
    <row r="455" spans="1:38" ht="12.75" customHeight="1" x14ac:dyDescent="0.2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</row>
    <row r="456" spans="1:38" ht="12.75" customHeight="1" x14ac:dyDescent="0.2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</row>
    <row r="457" spans="1:38" ht="12.75" customHeight="1" x14ac:dyDescent="0.2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</row>
    <row r="458" spans="1:38" ht="12.75" customHeight="1" x14ac:dyDescent="0.2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</row>
    <row r="459" spans="1:38" ht="12.75" customHeight="1" x14ac:dyDescent="0.2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</row>
    <row r="460" spans="1:38" ht="12.75" customHeight="1" x14ac:dyDescent="0.2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</row>
    <row r="461" spans="1:38" ht="12.75" customHeight="1" x14ac:dyDescent="0.2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</row>
    <row r="462" spans="1:38" ht="12.75" customHeight="1" x14ac:dyDescent="0.2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</row>
    <row r="463" spans="1:38" ht="12.75" customHeight="1" x14ac:dyDescent="0.2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</row>
    <row r="464" spans="1:38" ht="12.75" customHeight="1" x14ac:dyDescent="0.2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</row>
    <row r="465" spans="1:38" ht="12.75" customHeight="1" x14ac:dyDescent="0.2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</row>
    <row r="466" spans="1:38" ht="12.75" customHeight="1" x14ac:dyDescent="0.2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</row>
    <row r="467" spans="1:38" ht="12.75" customHeight="1" x14ac:dyDescent="0.2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</row>
    <row r="468" spans="1:38" ht="12.75" customHeight="1" x14ac:dyDescent="0.2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</row>
    <row r="469" spans="1:38" ht="12.75" customHeight="1" x14ac:dyDescent="0.2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</row>
    <row r="470" spans="1:38" ht="12.75" customHeight="1" x14ac:dyDescent="0.2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</row>
    <row r="471" spans="1:38" ht="12.75" customHeight="1" x14ac:dyDescent="0.2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</row>
    <row r="472" spans="1:38" ht="12.75" customHeight="1" x14ac:dyDescent="0.2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</row>
    <row r="473" spans="1:38" ht="12.75" customHeight="1" x14ac:dyDescent="0.2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</row>
    <row r="474" spans="1:38" ht="12.75" customHeight="1" x14ac:dyDescent="0.2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</row>
    <row r="475" spans="1:38" ht="12.75" customHeight="1" x14ac:dyDescent="0.2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</row>
    <row r="476" spans="1:38" ht="12.75" customHeight="1" x14ac:dyDescent="0.2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</row>
    <row r="477" spans="1:38" ht="12.75" customHeight="1" x14ac:dyDescent="0.2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</row>
    <row r="478" spans="1:38" ht="12.75" customHeight="1" x14ac:dyDescent="0.2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</row>
    <row r="479" spans="1:38" ht="12.75" customHeight="1" x14ac:dyDescent="0.2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</row>
    <row r="480" spans="1:38" ht="12.75" customHeight="1" x14ac:dyDescent="0.2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</row>
    <row r="481" spans="1:38" ht="12.75" customHeight="1" x14ac:dyDescent="0.2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</row>
    <row r="482" spans="1:38" ht="12.75" customHeight="1" x14ac:dyDescent="0.2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</row>
    <row r="483" spans="1:38" ht="12.75" customHeight="1" x14ac:dyDescent="0.2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</row>
    <row r="484" spans="1:38" ht="12.75" customHeight="1" x14ac:dyDescent="0.2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</row>
    <row r="485" spans="1:38" ht="12.75" customHeight="1" x14ac:dyDescent="0.2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</row>
    <row r="486" spans="1:38" ht="12.75" customHeight="1" x14ac:dyDescent="0.2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</row>
    <row r="487" spans="1:38" ht="12.75" customHeight="1" x14ac:dyDescent="0.2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</row>
    <row r="488" spans="1:38" ht="12.75" customHeight="1" x14ac:dyDescent="0.2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</row>
    <row r="489" spans="1:38" ht="12.75" customHeight="1" x14ac:dyDescent="0.2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</row>
    <row r="490" spans="1:38" ht="12.75" customHeight="1" x14ac:dyDescent="0.2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</row>
    <row r="491" spans="1:38" ht="12.75" customHeight="1" x14ac:dyDescent="0.2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</row>
    <row r="492" spans="1:38" ht="12.75" customHeight="1" x14ac:dyDescent="0.2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</row>
    <row r="493" spans="1:38" ht="12.75" customHeight="1" x14ac:dyDescent="0.2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</row>
    <row r="494" spans="1:38" ht="12.75" customHeight="1" x14ac:dyDescent="0.2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</row>
    <row r="495" spans="1:38" ht="12.75" customHeight="1" x14ac:dyDescent="0.2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</row>
    <row r="496" spans="1:38" ht="12.75" customHeight="1" x14ac:dyDescent="0.2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</row>
    <row r="497" spans="1:38" ht="12.75" customHeight="1" x14ac:dyDescent="0.2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</row>
    <row r="498" spans="1:38" ht="12.75" customHeight="1" x14ac:dyDescent="0.2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</row>
    <row r="499" spans="1:38" ht="12.75" customHeight="1" x14ac:dyDescent="0.2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</row>
    <row r="500" spans="1:38" ht="12.75" customHeight="1" x14ac:dyDescent="0.2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</row>
    <row r="501" spans="1:38" ht="12.75" customHeight="1" x14ac:dyDescent="0.2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</row>
    <row r="502" spans="1:38" ht="12.75" customHeight="1" x14ac:dyDescent="0.2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</row>
    <row r="503" spans="1:38" ht="12.75" customHeight="1" x14ac:dyDescent="0.2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</row>
    <row r="504" spans="1:38" ht="12.75" customHeight="1" x14ac:dyDescent="0.2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</row>
    <row r="505" spans="1:38" ht="12.75" customHeight="1" x14ac:dyDescent="0.2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</row>
    <row r="506" spans="1:38" ht="12.75" customHeight="1" x14ac:dyDescent="0.2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</row>
    <row r="507" spans="1:38" ht="12.75" customHeight="1" x14ac:dyDescent="0.2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</row>
    <row r="508" spans="1:38" ht="12.75" customHeight="1" x14ac:dyDescent="0.2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</row>
    <row r="509" spans="1:38" ht="12.75" customHeight="1" x14ac:dyDescent="0.2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</row>
    <row r="510" spans="1:38" ht="12.75" customHeight="1" x14ac:dyDescent="0.2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</row>
    <row r="511" spans="1:38" ht="12.75" customHeight="1" x14ac:dyDescent="0.2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</row>
    <row r="512" spans="1:38" ht="12.75" customHeight="1" x14ac:dyDescent="0.2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</row>
    <row r="513" spans="1:38" ht="12.75" customHeight="1" x14ac:dyDescent="0.2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</row>
    <row r="514" spans="1:38" ht="12.75" customHeight="1" x14ac:dyDescent="0.2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</row>
    <row r="515" spans="1:38" ht="12.75" customHeight="1" x14ac:dyDescent="0.2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</row>
    <row r="516" spans="1:38" ht="12.75" customHeight="1" x14ac:dyDescent="0.2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</row>
    <row r="517" spans="1:38" ht="12.75" customHeight="1" x14ac:dyDescent="0.2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</row>
    <row r="518" spans="1:38" ht="12.75" customHeight="1" x14ac:dyDescent="0.2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</row>
    <row r="519" spans="1:38" ht="12.75" customHeight="1" x14ac:dyDescent="0.2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</row>
    <row r="520" spans="1:38" ht="12.75" customHeight="1" x14ac:dyDescent="0.2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</row>
    <row r="521" spans="1:38" ht="12.75" customHeight="1" x14ac:dyDescent="0.2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</row>
    <row r="522" spans="1:38" ht="12.75" customHeight="1" x14ac:dyDescent="0.2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</row>
    <row r="523" spans="1:38" ht="12.75" customHeight="1" x14ac:dyDescent="0.2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</row>
    <row r="524" spans="1:38" ht="12.75" customHeight="1" x14ac:dyDescent="0.2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</row>
    <row r="525" spans="1:38" ht="12.75" customHeight="1" x14ac:dyDescent="0.2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</row>
    <row r="526" spans="1:38" ht="12.75" customHeight="1" x14ac:dyDescent="0.2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</row>
    <row r="527" spans="1:38" ht="12.75" customHeight="1" x14ac:dyDescent="0.2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</row>
    <row r="528" spans="1:38" ht="12.75" customHeight="1" x14ac:dyDescent="0.2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</row>
    <row r="529" spans="1:38" ht="12.75" customHeight="1" x14ac:dyDescent="0.2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</row>
    <row r="530" spans="1:38" ht="12.75" customHeight="1" x14ac:dyDescent="0.2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</row>
    <row r="531" spans="1:38" ht="12.75" customHeight="1" x14ac:dyDescent="0.2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</row>
    <row r="532" spans="1:38" ht="12.75" customHeight="1" x14ac:dyDescent="0.2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</row>
    <row r="533" spans="1:38" ht="12.75" customHeight="1" x14ac:dyDescent="0.2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</row>
    <row r="534" spans="1:38" ht="12.75" customHeight="1" x14ac:dyDescent="0.2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</row>
    <row r="535" spans="1:38" ht="12.75" customHeight="1" x14ac:dyDescent="0.2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</row>
    <row r="536" spans="1:38" ht="12.75" customHeight="1" x14ac:dyDescent="0.2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</row>
    <row r="537" spans="1:38" ht="12.75" customHeight="1" x14ac:dyDescent="0.2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</row>
    <row r="538" spans="1:38" ht="12.75" customHeight="1" x14ac:dyDescent="0.2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</row>
    <row r="539" spans="1:38" ht="12.75" customHeight="1" x14ac:dyDescent="0.2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</row>
    <row r="540" spans="1:38" ht="12.75" customHeight="1" x14ac:dyDescent="0.2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</row>
    <row r="541" spans="1:38" ht="12.75" customHeight="1" x14ac:dyDescent="0.2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</row>
    <row r="542" spans="1:38" ht="12.75" customHeight="1" x14ac:dyDescent="0.2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</row>
    <row r="543" spans="1:38" ht="12.75" customHeight="1" x14ac:dyDescent="0.2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</row>
    <row r="544" spans="1:38" ht="12.75" customHeight="1" x14ac:dyDescent="0.2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</row>
    <row r="545" spans="1:38" ht="12.75" customHeight="1" x14ac:dyDescent="0.2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</row>
    <row r="546" spans="1:38" ht="12.75" customHeight="1" x14ac:dyDescent="0.2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</row>
    <row r="547" spans="1:38" ht="12.75" customHeight="1" x14ac:dyDescent="0.2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</row>
    <row r="548" spans="1:38" ht="12.75" customHeight="1" x14ac:dyDescent="0.2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</row>
    <row r="549" spans="1:38" ht="12.75" customHeight="1" x14ac:dyDescent="0.2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</row>
    <row r="550" spans="1:38" ht="12.75" customHeight="1" x14ac:dyDescent="0.2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</row>
    <row r="551" spans="1:38" ht="12.75" customHeight="1" x14ac:dyDescent="0.2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</row>
    <row r="552" spans="1:38" ht="12.75" customHeight="1" x14ac:dyDescent="0.2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</row>
    <row r="553" spans="1:38" ht="12.75" customHeight="1" x14ac:dyDescent="0.2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</row>
    <row r="554" spans="1:38" ht="12.75" customHeight="1" x14ac:dyDescent="0.2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</row>
    <row r="555" spans="1:38" ht="12.75" customHeight="1" x14ac:dyDescent="0.2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</row>
    <row r="556" spans="1:38" ht="12.75" customHeight="1" x14ac:dyDescent="0.2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</row>
    <row r="557" spans="1:38" ht="12.75" customHeight="1" x14ac:dyDescent="0.2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</row>
    <row r="558" spans="1:38" ht="12.75" customHeight="1" x14ac:dyDescent="0.2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</row>
    <row r="559" spans="1:38" ht="12.75" customHeight="1" x14ac:dyDescent="0.2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</row>
    <row r="560" spans="1:38" ht="12.75" customHeight="1" x14ac:dyDescent="0.2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</row>
    <row r="561" spans="1:38" ht="12.75" customHeight="1" x14ac:dyDescent="0.2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</row>
    <row r="562" spans="1:38" ht="12.75" customHeight="1" x14ac:dyDescent="0.2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</row>
    <row r="563" spans="1:38" ht="12.75" customHeight="1" x14ac:dyDescent="0.2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</row>
    <row r="564" spans="1:38" ht="12.75" customHeight="1" x14ac:dyDescent="0.2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</row>
    <row r="565" spans="1:38" ht="12.75" customHeight="1" x14ac:dyDescent="0.2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</row>
    <row r="566" spans="1:38" ht="12.75" customHeight="1" x14ac:dyDescent="0.2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</row>
    <row r="567" spans="1:38" ht="12.75" customHeight="1" x14ac:dyDescent="0.2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</row>
    <row r="568" spans="1:38" ht="12.75" customHeight="1" x14ac:dyDescent="0.2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</row>
    <row r="569" spans="1:38" ht="12.75" customHeight="1" x14ac:dyDescent="0.2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</row>
    <row r="570" spans="1:38" ht="12.75" customHeight="1" x14ac:dyDescent="0.2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</row>
    <row r="571" spans="1:38" ht="12.75" customHeight="1" x14ac:dyDescent="0.2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</row>
    <row r="572" spans="1:38" ht="12.75" customHeight="1" x14ac:dyDescent="0.2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</row>
    <row r="573" spans="1:38" ht="12.75" customHeight="1" x14ac:dyDescent="0.2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</row>
    <row r="574" spans="1:38" ht="12.75" customHeight="1" x14ac:dyDescent="0.2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</row>
    <row r="575" spans="1:38" ht="12.75" customHeight="1" x14ac:dyDescent="0.2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</row>
    <row r="576" spans="1:38" ht="12.75" customHeight="1" x14ac:dyDescent="0.2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</row>
    <row r="577" spans="1:38" ht="12.75" customHeight="1" x14ac:dyDescent="0.2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</row>
    <row r="578" spans="1:38" ht="12.75" customHeight="1" x14ac:dyDescent="0.2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</row>
    <row r="579" spans="1:38" ht="12.75" customHeight="1" x14ac:dyDescent="0.2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</row>
    <row r="580" spans="1:38" ht="12.75" customHeight="1" x14ac:dyDescent="0.2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</row>
    <row r="581" spans="1:38" ht="12.75" customHeight="1" x14ac:dyDescent="0.2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</row>
    <row r="582" spans="1:38" ht="12.75" customHeight="1" x14ac:dyDescent="0.2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</row>
    <row r="583" spans="1:38" ht="12.75" customHeight="1" x14ac:dyDescent="0.2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</row>
    <row r="584" spans="1:38" ht="12.75" customHeight="1" x14ac:dyDescent="0.2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</row>
    <row r="585" spans="1:38" ht="12.75" customHeight="1" x14ac:dyDescent="0.2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</row>
    <row r="586" spans="1:38" ht="12.75" customHeight="1" x14ac:dyDescent="0.2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</row>
    <row r="587" spans="1:38" ht="12.75" customHeight="1" x14ac:dyDescent="0.2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</row>
    <row r="588" spans="1:38" ht="12.75" customHeight="1" x14ac:dyDescent="0.2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</row>
    <row r="589" spans="1:38" ht="12.75" customHeight="1" x14ac:dyDescent="0.2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</row>
    <row r="590" spans="1:38" ht="12.75" customHeight="1" x14ac:dyDescent="0.2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</row>
    <row r="591" spans="1:38" ht="12.75" customHeight="1" x14ac:dyDescent="0.2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</row>
    <row r="592" spans="1:38" ht="12.75" customHeight="1" x14ac:dyDescent="0.2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</row>
    <row r="593" spans="1:38" ht="12.75" customHeight="1" x14ac:dyDescent="0.2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</row>
    <row r="594" spans="1:38" ht="12.75" customHeight="1" x14ac:dyDescent="0.2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</row>
    <row r="595" spans="1:38" ht="12.75" customHeight="1" x14ac:dyDescent="0.2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</row>
    <row r="596" spans="1:38" ht="12.75" customHeight="1" x14ac:dyDescent="0.2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</row>
    <row r="597" spans="1:38" ht="12.75" customHeight="1" x14ac:dyDescent="0.2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</row>
    <row r="598" spans="1:38" ht="12.75" customHeight="1" x14ac:dyDescent="0.2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</row>
    <row r="599" spans="1:38" ht="12.75" customHeight="1" x14ac:dyDescent="0.2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</row>
    <row r="600" spans="1:38" ht="12.75" customHeight="1" x14ac:dyDescent="0.2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</row>
    <row r="601" spans="1:38" ht="12.75" customHeight="1" x14ac:dyDescent="0.2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</row>
    <row r="602" spans="1:38" ht="12.75" customHeight="1" x14ac:dyDescent="0.2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</row>
    <row r="603" spans="1:38" ht="12.75" customHeight="1" x14ac:dyDescent="0.2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</row>
    <row r="604" spans="1:38" ht="12.75" customHeight="1" x14ac:dyDescent="0.2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</row>
    <row r="605" spans="1:38" ht="12.75" customHeight="1" x14ac:dyDescent="0.2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</row>
    <row r="606" spans="1:38" ht="12.75" customHeight="1" x14ac:dyDescent="0.2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</row>
    <row r="607" spans="1:38" ht="12.75" customHeight="1" x14ac:dyDescent="0.2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</row>
    <row r="608" spans="1:38" ht="12.75" customHeight="1" x14ac:dyDescent="0.2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</row>
    <row r="609" spans="1:38" ht="12.75" customHeight="1" x14ac:dyDescent="0.2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</row>
    <row r="610" spans="1:38" ht="12.75" customHeight="1" x14ac:dyDescent="0.2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</row>
    <row r="611" spans="1:38" ht="12.75" customHeight="1" x14ac:dyDescent="0.2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</row>
    <row r="612" spans="1:38" ht="12.75" customHeight="1" x14ac:dyDescent="0.2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</row>
    <row r="613" spans="1:38" ht="12.75" customHeight="1" x14ac:dyDescent="0.2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</row>
    <row r="614" spans="1:38" ht="12.75" customHeight="1" x14ac:dyDescent="0.2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</row>
    <row r="615" spans="1:38" ht="12.75" customHeight="1" x14ac:dyDescent="0.2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</row>
    <row r="616" spans="1:38" ht="12.75" customHeight="1" x14ac:dyDescent="0.2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</row>
    <row r="617" spans="1:38" ht="12.75" customHeight="1" x14ac:dyDescent="0.2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</row>
    <row r="618" spans="1:38" ht="12.75" customHeight="1" x14ac:dyDescent="0.2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</row>
    <row r="619" spans="1:38" ht="12.75" customHeight="1" x14ac:dyDescent="0.2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</row>
    <row r="620" spans="1:38" ht="12.75" customHeight="1" x14ac:dyDescent="0.2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</row>
    <row r="621" spans="1:38" ht="12.75" customHeight="1" x14ac:dyDescent="0.2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</row>
    <row r="622" spans="1:38" ht="12.75" customHeight="1" x14ac:dyDescent="0.2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</row>
    <row r="623" spans="1:38" ht="12.75" customHeight="1" x14ac:dyDescent="0.2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</row>
    <row r="624" spans="1:38" ht="12.75" customHeight="1" x14ac:dyDescent="0.2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</row>
    <row r="625" spans="1:38" ht="12.75" customHeight="1" x14ac:dyDescent="0.2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</row>
    <row r="626" spans="1:38" ht="12.75" customHeight="1" x14ac:dyDescent="0.2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</row>
    <row r="627" spans="1:38" ht="12.75" customHeight="1" x14ac:dyDescent="0.2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</row>
    <row r="628" spans="1:38" ht="12.75" customHeight="1" x14ac:dyDescent="0.2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</row>
    <row r="629" spans="1:38" ht="12.75" customHeight="1" x14ac:dyDescent="0.2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</row>
    <row r="630" spans="1:38" ht="12.75" customHeight="1" x14ac:dyDescent="0.2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</row>
    <row r="631" spans="1:38" ht="12.75" customHeight="1" x14ac:dyDescent="0.2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</row>
    <row r="632" spans="1:38" ht="12.75" customHeight="1" x14ac:dyDescent="0.2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</row>
    <row r="633" spans="1:38" ht="12.75" customHeight="1" x14ac:dyDescent="0.2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</row>
    <row r="634" spans="1:38" ht="12.75" customHeight="1" x14ac:dyDescent="0.2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</row>
    <row r="635" spans="1:38" ht="12.75" customHeight="1" x14ac:dyDescent="0.2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</row>
    <row r="636" spans="1:38" ht="12.75" customHeight="1" x14ac:dyDescent="0.2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</row>
    <row r="637" spans="1:38" ht="12.75" customHeight="1" x14ac:dyDescent="0.2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</row>
    <row r="638" spans="1:38" ht="12.75" customHeight="1" x14ac:dyDescent="0.2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</row>
    <row r="639" spans="1:38" ht="12.75" customHeight="1" x14ac:dyDescent="0.2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</row>
    <row r="640" spans="1:38" ht="12.75" customHeight="1" x14ac:dyDescent="0.2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</row>
    <row r="641" spans="1:38" ht="12.75" customHeight="1" x14ac:dyDescent="0.2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</row>
    <row r="642" spans="1:38" ht="12.75" customHeight="1" x14ac:dyDescent="0.2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</row>
    <row r="643" spans="1:38" ht="12.75" customHeight="1" x14ac:dyDescent="0.2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</row>
    <row r="644" spans="1:38" ht="12.75" customHeight="1" x14ac:dyDescent="0.2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</row>
    <row r="645" spans="1:38" ht="12.75" customHeight="1" x14ac:dyDescent="0.2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</row>
    <row r="646" spans="1:38" ht="12.75" customHeight="1" x14ac:dyDescent="0.2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</row>
    <row r="647" spans="1:38" ht="12.75" customHeight="1" x14ac:dyDescent="0.2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</row>
    <row r="648" spans="1:38" ht="12.75" customHeight="1" x14ac:dyDescent="0.2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</row>
    <row r="649" spans="1:38" ht="12.75" customHeight="1" x14ac:dyDescent="0.2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</row>
    <row r="650" spans="1:38" ht="12.75" customHeight="1" x14ac:dyDescent="0.2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</row>
    <row r="651" spans="1:38" ht="12.75" customHeight="1" x14ac:dyDescent="0.2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</row>
    <row r="652" spans="1:38" ht="12.75" customHeight="1" x14ac:dyDescent="0.2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</row>
    <row r="653" spans="1:38" ht="12.75" customHeight="1" x14ac:dyDescent="0.2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</row>
    <row r="654" spans="1:38" ht="12.75" customHeight="1" x14ac:dyDescent="0.2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</row>
    <row r="655" spans="1:38" ht="12.75" customHeight="1" x14ac:dyDescent="0.2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</row>
    <row r="656" spans="1:38" ht="12.75" customHeight="1" x14ac:dyDescent="0.2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</row>
    <row r="657" spans="1:38" ht="12.75" customHeight="1" x14ac:dyDescent="0.2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</row>
    <row r="658" spans="1:38" ht="12.75" customHeight="1" x14ac:dyDescent="0.2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62"/>
      <c r="AH658" s="62"/>
      <c r="AI658" s="62"/>
      <c r="AJ658" s="62"/>
      <c r="AK658" s="62"/>
      <c r="AL658" s="62"/>
    </row>
    <row r="659" spans="1:38" ht="12.75" customHeight="1" x14ac:dyDescent="0.2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62"/>
      <c r="AH659" s="62"/>
      <c r="AI659" s="62"/>
      <c r="AJ659" s="62"/>
      <c r="AK659" s="62"/>
      <c r="AL659" s="62"/>
    </row>
    <row r="660" spans="1:38" ht="12.75" customHeight="1" x14ac:dyDescent="0.2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62"/>
      <c r="AH660" s="62"/>
      <c r="AI660" s="62"/>
      <c r="AJ660" s="62"/>
      <c r="AK660" s="62"/>
      <c r="AL660" s="62"/>
    </row>
    <row r="661" spans="1:38" ht="12.75" customHeight="1" x14ac:dyDescent="0.2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62"/>
      <c r="AH661" s="62"/>
      <c r="AI661" s="62"/>
      <c r="AJ661" s="62"/>
      <c r="AK661" s="62"/>
      <c r="AL661" s="62"/>
    </row>
    <row r="662" spans="1:38" ht="12.75" customHeight="1" x14ac:dyDescent="0.2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62"/>
      <c r="AH662" s="62"/>
      <c r="AI662" s="62"/>
      <c r="AJ662" s="62"/>
      <c r="AK662" s="62"/>
      <c r="AL662" s="62"/>
    </row>
    <row r="663" spans="1:38" ht="12.75" customHeight="1" x14ac:dyDescent="0.2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62"/>
      <c r="AH663" s="62"/>
      <c r="AI663" s="62"/>
      <c r="AJ663" s="62"/>
      <c r="AK663" s="62"/>
      <c r="AL663" s="62"/>
    </row>
    <row r="664" spans="1:38" ht="12.75" customHeight="1" x14ac:dyDescent="0.2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62"/>
      <c r="AH664" s="62"/>
      <c r="AI664" s="62"/>
      <c r="AJ664" s="62"/>
      <c r="AK664" s="62"/>
      <c r="AL664" s="62"/>
    </row>
    <row r="665" spans="1:38" ht="12.75" customHeight="1" x14ac:dyDescent="0.2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</row>
    <row r="666" spans="1:38" ht="12.75" customHeight="1" x14ac:dyDescent="0.2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</row>
    <row r="667" spans="1:38" ht="12.75" customHeight="1" x14ac:dyDescent="0.2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62"/>
      <c r="AH667" s="62"/>
      <c r="AI667" s="62"/>
      <c r="AJ667" s="62"/>
      <c r="AK667" s="62"/>
      <c r="AL667" s="62"/>
    </row>
    <row r="668" spans="1:38" ht="12.75" customHeight="1" x14ac:dyDescent="0.2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</row>
    <row r="669" spans="1:38" ht="12.75" customHeight="1" x14ac:dyDescent="0.2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</row>
    <row r="670" spans="1:38" ht="12.75" customHeight="1" x14ac:dyDescent="0.2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</row>
    <row r="671" spans="1:38" ht="12.75" customHeight="1" x14ac:dyDescent="0.2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62"/>
      <c r="AH671" s="62"/>
      <c r="AI671" s="62"/>
      <c r="AJ671" s="62"/>
      <c r="AK671" s="62"/>
      <c r="AL671" s="62"/>
    </row>
    <row r="672" spans="1:38" ht="12.75" customHeight="1" x14ac:dyDescent="0.2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</row>
    <row r="673" spans="1:38" ht="12.75" customHeight="1" x14ac:dyDescent="0.2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</row>
    <row r="674" spans="1:38" ht="12.75" customHeight="1" x14ac:dyDescent="0.2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62"/>
      <c r="AH674" s="62"/>
      <c r="AI674" s="62"/>
      <c r="AJ674" s="62"/>
      <c r="AK674" s="62"/>
      <c r="AL674" s="62"/>
    </row>
    <row r="675" spans="1:38" ht="12.75" customHeight="1" x14ac:dyDescent="0.2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</row>
    <row r="676" spans="1:38" ht="12.75" customHeight="1" x14ac:dyDescent="0.2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</row>
    <row r="677" spans="1:38" ht="12.75" customHeight="1" x14ac:dyDescent="0.2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</row>
    <row r="678" spans="1:38" ht="12.75" customHeight="1" x14ac:dyDescent="0.2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62"/>
      <c r="AH678" s="62"/>
      <c r="AI678" s="62"/>
      <c r="AJ678" s="62"/>
      <c r="AK678" s="62"/>
      <c r="AL678" s="62"/>
    </row>
    <row r="679" spans="1:38" ht="12.75" customHeight="1" x14ac:dyDescent="0.2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</row>
    <row r="680" spans="1:38" ht="12.75" customHeight="1" x14ac:dyDescent="0.2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62"/>
      <c r="AH680" s="62"/>
      <c r="AI680" s="62"/>
      <c r="AJ680" s="62"/>
      <c r="AK680" s="62"/>
      <c r="AL680" s="62"/>
    </row>
    <row r="681" spans="1:38" ht="12.75" customHeight="1" x14ac:dyDescent="0.2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</row>
    <row r="682" spans="1:38" ht="12.75" customHeight="1" x14ac:dyDescent="0.2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</row>
    <row r="683" spans="1:38" ht="12.75" customHeight="1" x14ac:dyDescent="0.2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</row>
    <row r="684" spans="1:38" ht="12.75" customHeight="1" x14ac:dyDescent="0.2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62"/>
      <c r="AH684" s="62"/>
      <c r="AI684" s="62"/>
      <c r="AJ684" s="62"/>
      <c r="AK684" s="62"/>
      <c r="AL684" s="62"/>
    </row>
    <row r="685" spans="1:38" ht="12.75" customHeight="1" x14ac:dyDescent="0.2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</row>
    <row r="686" spans="1:38" ht="12.75" customHeight="1" x14ac:dyDescent="0.2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</row>
    <row r="687" spans="1:38" ht="12.75" customHeight="1" x14ac:dyDescent="0.2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2"/>
      <c r="AJ687" s="62"/>
      <c r="AK687" s="62"/>
      <c r="AL687" s="62"/>
    </row>
    <row r="688" spans="1:38" ht="12.75" customHeight="1" x14ac:dyDescent="0.2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</row>
    <row r="689" spans="1:38" ht="12.75" customHeight="1" x14ac:dyDescent="0.2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</row>
    <row r="690" spans="1:38" ht="12.75" customHeight="1" x14ac:dyDescent="0.2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</row>
    <row r="691" spans="1:38" ht="12.75" customHeight="1" x14ac:dyDescent="0.2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</row>
    <row r="692" spans="1:38" ht="12.75" customHeight="1" x14ac:dyDescent="0.2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</row>
    <row r="693" spans="1:38" ht="12.75" customHeight="1" x14ac:dyDescent="0.2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</row>
    <row r="694" spans="1:38" ht="12.75" customHeight="1" x14ac:dyDescent="0.2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</row>
    <row r="695" spans="1:38" ht="12.75" customHeight="1" x14ac:dyDescent="0.2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</row>
    <row r="696" spans="1:38" ht="12.75" customHeight="1" x14ac:dyDescent="0.2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</row>
    <row r="697" spans="1:38" ht="12.75" customHeight="1" x14ac:dyDescent="0.2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</row>
    <row r="698" spans="1:38" ht="12.75" customHeight="1" x14ac:dyDescent="0.2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</row>
    <row r="699" spans="1:38" ht="12.75" customHeight="1" x14ac:dyDescent="0.2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</row>
    <row r="700" spans="1:38" ht="12.75" customHeight="1" x14ac:dyDescent="0.2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</row>
    <row r="701" spans="1:38" ht="12.75" customHeight="1" x14ac:dyDescent="0.2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</row>
    <row r="702" spans="1:38" ht="12.75" customHeight="1" x14ac:dyDescent="0.2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</row>
    <row r="703" spans="1:38" ht="12.75" customHeight="1" x14ac:dyDescent="0.2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</row>
    <row r="704" spans="1:38" ht="12.75" customHeight="1" x14ac:dyDescent="0.2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</row>
    <row r="705" spans="1:38" ht="12.75" customHeight="1" x14ac:dyDescent="0.2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</row>
    <row r="706" spans="1:38" ht="12.75" customHeight="1" x14ac:dyDescent="0.2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</row>
    <row r="707" spans="1:38" ht="12.75" customHeight="1" x14ac:dyDescent="0.2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</row>
    <row r="708" spans="1:38" ht="12.75" customHeight="1" x14ac:dyDescent="0.2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</row>
    <row r="709" spans="1:38" ht="12.75" customHeight="1" x14ac:dyDescent="0.2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</row>
    <row r="710" spans="1:38" ht="12.75" customHeight="1" x14ac:dyDescent="0.2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</row>
    <row r="711" spans="1:38" ht="12.75" customHeight="1" x14ac:dyDescent="0.2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</row>
    <row r="712" spans="1:38" ht="12.75" customHeight="1" x14ac:dyDescent="0.2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</row>
    <row r="713" spans="1:38" ht="12.75" customHeight="1" x14ac:dyDescent="0.2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</row>
    <row r="714" spans="1:38" ht="12.75" customHeight="1" x14ac:dyDescent="0.2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</row>
    <row r="715" spans="1:38" ht="12.75" customHeight="1" x14ac:dyDescent="0.2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/>
      <c r="AI715" s="62"/>
      <c r="AJ715" s="62"/>
      <c r="AK715" s="62"/>
      <c r="AL715" s="62"/>
    </row>
    <row r="716" spans="1:38" ht="12.75" customHeight="1" x14ac:dyDescent="0.2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</row>
    <row r="717" spans="1:38" ht="12.75" customHeight="1" x14ac:dyDescent="0.2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</row>
    <row r="718" spans="1:38" ht="12.75" customHeight="1" x14ac:dyDescent="0.2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</row>
    <row r="719" spans="1:38" ht="12.75" customHeight="1" x14ac:dyDescent="0.2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</row>
    <row r="720" spans="1:38" ht="12.75" customHeight="1" x14ac:dyDescent="0.2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</row>
    <row r="721" spans="1:38" ht="12.75" customHeight="1" x14ac:dyDescent="0.2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</row>
    <row r="722" spans="1:38" ht="12.75" customHeight="1" x14ac:dyDescent="0.2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</row>
    <row r="723" spans="1:38" ht="12.75" customHeight="1" x14ac:dyDescent="0.2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/>
      <c r="AI723" s="62"/>
      <c r="AJ723" s="62"/>
      <c r="AK723" s="62"/>
      <c r="AL723" s="62"/>
    </row>
    <row r="724" spans="1:38" ht="12.75" customHeight="1" x14ac:dyDescent="0.2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</row>
    <row r="725" spans="1:38" ht="12.75" customHeight="1" x14ac:dyDescent="0.2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</row>
    <row r="726" spans="1:38" ht="12.75" customHeight="1" x14ac:dyDescent="0.2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/>
      <c r="AI726" s="62"/>
      <c r="AJ726" s="62"/>
      <c r="AK726" s="62"/>
      <c r="AL726" s="62"/>
    </row>
    <row r="727" spans="1:38" ht="12.75" customHeight="1" x14ac:dyDescent="0.2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</row>
    <row r="728" spans="1:38" ht="12.75" customHeight="1" x14ac:dyDescent="0.2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</row>
    <row r="729" spans="1:38" ht="12.75" customHeight="1" x14ac:dyDescent="0.2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</row>
    <row r="730" spans="1:38" ht="12.75" customHeight="1" x14ac:dyDescent="0.2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</row>
    <row r="731" spans="1:38" ht="12.75" customHeight="1" x14ac:dyDescent="0.2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/>
      <c r="AI731" s="62"/>
      <c r="AJ731" s="62"/>
      <c r="AK731" s="62"/>
      <c r="AL731" s="62"/>
    </row>
    <row r="732" spans="1:38" ht="12.75" customHeight="1" x14ac:dyDescent="0.2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2"/>
    </row>
    <row r="733" spans="1:38" ht="12.75" customHeight="1" x14ac:dyDescent="0.2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/>
      <c r="AI733" s="62"/>
      <c r="AJ733" s="62"/>
      <c r="AK733" s="62"/>
      <c r="AL733" s="62"/>
    </row>
    <row r="734" spans="1:38" ht="12.75" customHeight="1" x14ac:dyDescent="0.2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/>
      <c r="AI734" s="62"/>
      <c r="AJ734" s="62"/>
      <c r="AK734" s="62"/>
      <c r="AL734" s="62"/>
    </row>
    <row r="735" spans="1:38" ht="12.75" customHeight="1" x14ac:dyDescent="0.2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/>
      <c r="AI735" s="62"/>
      <c r="AJ735" s="62"/>
      <c r="AK735" s="62"/>
      <c r="AL735" s="62"/>
    </row>
    <row r="736" spans="1:38" ht="12.75" customHeight="1" x14ac:dyDescent="0.2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/>
      <c r="AI736" s="62"/>
      <c r="AJ736" s="62"/>
      <c r="AK736" s="62"/>
      <c r="AL736" s="62"/>
    </row>
    <row r="737" spans="1:38" ht="12.75" customHeight="1" x14ac:dyDescent="0.2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/>
      <c r="AI737" s="62"/>
      <c r="AJ737" s="62"/>
      <c r="AK737" s="62"/>
      <c r="AL737" s="62"/>
    </row>
    <row r="738" spans="1:38" ht="12.75" customHeight="1" x14ac:dyDescent="0.2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/>
      <c r="AI738" s="62"/>
      <c r="AJ738" s="62"/>
      <c r="AK738" s="62"/>
      <c r="AL738" s="62"/>
    </row>
    <row r="739" spans="1:38" ht="12.75" customHeight="1" x14ac:dyDescent="0.2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</row>
    <row r="740" spans="1:38" ht="12.75" customHeight="1" x14ac:dyDescent="0.2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/>
      <c r="AI740" s="62"/>
      <c r="AJ740" s="62"/>
      <c r="AK740" s="62"/>
      <c r="AL740" s="62"/>
    </row>
    <row r="741" spans="1:38" ht="12.75" customHeight="1" x14ac:dyDescent="0.2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/>
      <c r="AI741" s="62"/>
      <c r="AJ741" s="62"/>
      <c r="AK741" s="62"/>
      <c r="AL741" s="62"/>
    </row>
    <row r="742" spans="1:38" ht="12.75" customHeight="1" x14ac:dyDescent="0.2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/>
      <c r="AI742" s="62"/>
      <c r="AJ742" s="62"/>
      <c r="AK742" s="62"/>
      <c r="AL742" s="62"/>
    </row>
    <row r="743" spans="1:38" ht="12.75" customHeight="1" x14ac:dyDescent="0.2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/>
      <c r="AI743" s="62"/>
      <c r="AJ743" s="62"/>
      <c r="AK743" s="62"/>
      <c r="AL743" s="62"/>
    </row>
    <row r="744" spans="1:38" ht="12.75" customHeight="1" x14ac:dyDescent="0.2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</row>
    <row r="745" spans="1:38" ht="12.75" customHeight="1" x14ac:dyDescent="0.2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/>
      <c r="AI745" s="62"/>
      <c r="AJ745" s="62"/>
      <c r="AK745" s="62"/>
      <c r="AL745" s="62"/>
    </row>
    <row r="746" spans="1:38" ht="12.75" customHeight="1" x14ac:dyDescent="0.2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/>
      <c r="AI746" s="62"/>
      <c r="AJ746" s="62"/>
      <c r="AK746" s="62"/>
      <c r="AL746" s="62"/>
    </row>
    <row r="747" spans="1:38" ht="12.75" customHeight="1" x14ac:dyDescent="0.2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</row>
    <row r="748" spans="1:38" ht="12.75" customHeight="1" x14ac:dyDescent="0.2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/>
      <c r="AI748" s="62"/>
      <c r="AJ748" s="62"/>
      <c r="AK748" s="62"/>
      <c r="AL748" s="62"/>
    </row>
    <row r="749" spans="1:38" ht="12.75" customHeight="1" x14ac:dyDescent="0.2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/>
      <c r="AI749" s="62"/>
      <c r="AJ749" s="62"/>
      <c r="AK749" s="62"/>
      <c r="AL749" s="62"/>
    </row>
    <row r="750" spans="1:38" ht="12.75" customHeight="1" x14ac:dyDescent="0.2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/>
      <c r="AI750" s="62"/>
      <c r="AJ750" s="62"/>
      <c r="AK750" s="62"/>
      <c r="AL750" s="62"/>
    </row>
    <row r="751" spans="1:38" ht="12.75" customHeight="1" x14ac:dyDescent="0.2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/>
      <c r="AI751" s="62"/>
      <c r="AJ751" s="62"/>
      <c r="AK751" s="62"/>
      <c r="AL751" s="62"/>
    </row>
    <row r="752" spans="1:38" ht="12.75" customHeight="1" x14ac:dyDescent="0.2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/>
      <c r="AI752" s="62"/>
      <c r="AJ752" s="62"/>
      <c r="AK752" s="62"/>
      <c r="AL752" s="62"/>
    </row>
    <row r="753" spans="1:38" ht="12.75" customHeight="1" x14ac:dyDescent="0.2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/>
      <c r="AI753" s="62"/>
      <c r="AJ753" s="62"/>
      <c r="AK753" s="62"/>
      <c r="AL753" s="62"/>
    </row>
    <row r="754" spans="1:38" ht="12.75" customHeight="1" x14ac:dyDescent="0.2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/>
      <c r="AI754" s="62"/>
      <c r="AJ754" s="62"/>
      <c r="AK754" s="62"/>
      <c r="AL754" s="62"/>
    </row>
    <row r="755" spans="1:38" ht="12.75" customHeight="1" x14ac:dyDescent="0.2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/>
      <c r="AI755" s="62"/>
      <c r="AJ755" s="62"/>
      <c r="AK755" s="62"/>
      <c r="AL755" s="62"/>
    </row>
    <row r="756" spans="1:38" ht="12.75" customHeight="1" x14ac:dyDescent="0.2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/>
      <c r="AI756" s="62"/>
      <c r="AJ756" s="62"/>
      <c r="AK756" s="62"/>
      <c r="AL756" s="62"/>
    </row>
    <row r="757" spans="1:38" ht="12.75" customHeight="1" x14ac:dyDescent="0.2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I757" s="62"/>
      <c r="AJ757" s="62"/>
      <c r="AK757" s="62"/>
      <c r="AL757" s="62"/>
    </row>
    <row r="758" spans="1:38" ht="12.75" customHeight="1" x14ac:dyDescent="0.2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/>
      <c r="AI758" s="62"/>
      <c r="AJ758" s="62"/>
      <c r="AK758" s="62"/>
      <c r="AL758" s="62"/>
    </row>
    <row r="759" spans="1:38" ht="12.75" customHeight="1" x14ac:dyDescent="0.2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/>
      <c r="AI759" s="62"/>
      <c r="AJ759" s="62"/>
      <c r="AK759" s="62"/>
      <c r="AL759" s="62"/>
    </row>
    <row r="760" spans="1:38" ht="12.75" customHeight="1" x14ac:dyDescent="0.2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/>
      <c r="AI760" s="62"/>
      <c r="AJ760" s="62"/>
      <c r="AK760" s="62"/>
      <c r="AL760" s="62"/>
    </row>
    <row r="761" spans="1:38" ht="12.75" customHeight="1" x14ac:dyDescent="0.2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/>
      <c r="AI761" s="62"/>
      <c r="AJ761" s="62"/>
      <c r="AK761" s="62"/>
      <c r="AL761" s="62"/>
    </row>
    <row r="762" spans="1:38" ht="12.75" customHeight="1" x14ac:dyDescent="0.2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/>
      <c r="AI762" s="62"/>
      <c r="AJ762" s="62"/>
      <c r="AK762" s="62"/>
      <c r="AL762" s="62"/>
    </row>
    <row r="763" spans="1:38" ht="12.75" customHeight="1" x14ac:dyDescent="0.2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/>
      <c r="AI763" s="62"/>
      <c r="AJ763" s="62"/>
      <c r="AK763" s="62"/>
      <c r="AL763" s="62"/>
    </row>
    <row r="764" spans="1:38" ht="12.75" customHeight="1" x14ac:dyDescent="0.2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/>
      <c r="AI764" s="62"/>
      <c r="AJ764" s="62"/>
      <c r="AK764" s="62"/>
      <c r="AL764" s="62"/>
    </row>
    <row r="765" spans="1:38" ht="12.75" customHeight="1" x14ac:dyDescent="0.2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/>
      <c r="AI765" s="62"/>
      <c r="AJ765" s="62"/>
      <c r="AK765" s="62"/>
      <c r="AL765" s="62"/>
    </row>
    <row r="766" spans="1:38" ht="12.75" customHeight="1" x14ac:dyDescent="0.2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/>
      <c r="AI766" s="62"/>
      <c r="AJ766" s="62"/>
      <c r="AK766" s="62"/>
      <c r="AL766" s="62"/>
    </row>
    <row r="767" spans="1:38" ht="12.75" customHeight="1" x14ac:dyDescent="0.2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/>
      <c r="AI767" s="62"/>
      <c r="AJ767" s="62"/>
      <c r="AK767" s="62"/>
      <c r="AL767" s="62"/>
    </row>
    <row r="768" spans="1:38" ht="12.75" customHeight="1" x14ac:dyDescent="0.2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/>
      <c r="AI768" s="62"/>
      <c r="AJ768" s="62"/>
      <c r="AK768" s="62"/>
      <c r="AL768" s="62"/>
    </row>
    <row r="769" spans="1:38" ht="12.75" customHeight="1" x14ac:dyDescent="0.2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/>
      <c r="AI769" s="62"/>
      <c r="AJ769" s="62"/>
      <c r="AK769" s="62"/>
      <c r="AL769" s="62"/>
    </row>
    <row r="770" spans="1:38" ht="12.75" customHeight="1" x14ac:dyDescent="0.2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/>
      <c r="AI770" s="62"/>
      <c r="AJ770" s="62"/>
      <c r="AK770" s="62"/>
      <c r="AL770" s="62"/>
    </row>
    <row r="771" spans="1:38" ht="12.75" customHeight="1" x14ac:dyDescent="0.2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2"/>
      <c r="AK771" s="62"/>
      <c r="AL771" s="62"/>
    </row>
    <row r="772" spans="1:38" ht="12.75" customHeight="1" x14ac:dyDescent="0.2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/>
      <c r="AI772" s="62"/>
      <c r="AJ772" s="62"/>
      <c r="AK772" s="62"/>
      <c r="AL772" s="62"/>
    </row>
    <row r="773" spans="1:38" ht="12.75" customHeight="1" x14ac:dyDescent="0.2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/>
      <c r="AI773" s="62"/>
      <c r="AJ773" s="62"/>
      <c r="AK773" s="62"/>
      <c r="AL773" s="62"/>
    </row>
    <row r="774" spans="1:38" ht="12.75" customHeight="1" x14ac:dyDescent="0.2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/>
      <c r="AI774" s="62"/>
      <c r="AJ774" s="62"/>
      <c r="AK774" s="62"/>
      <c r="AL774" s="62"/>
    </row>
    <row r="775" spans="1:38" ht="12.75" customHeight="1" x14ac:dyDescent="0.2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/>
      <c r="AI775" s="62"/>
      <c r="AJ775" s="62"/>
      <c r="AK775" s="62"/>
      <c r="AL775" s="62"/>
    </row>
    <row r="776" spans="1:38" ht="12.75" customHeight="1" x14ac:dyDescent="0.2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/>
      <c r="AI776" s="62"/>
      <c r="AJ776" s="62"/>
      <c r="AK776" s="62"/>
      <c r="AL776" s="62"/>
    </row>
    <row r="777" spans="1:38" ht="12.75" customHeight="1" x14ac:dyDescent="0.2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</row>
    <row r="778" spans="1:38" ht="12.75" customHeight="1" x14ac:dyDescent="0.2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</row>
    <row r="779" spans="1:38" ht="12.75" customHeight="1" x14ac:dyDescent="0.2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</row>
    <row r="780" spans="1:38" ht="12.75" customHeight="1" x14ac:dyDescent="0.2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</row>
    <row r="781" spans="1:38" ht="12.75" customHeight="1" x14ac:dyDescent="0.2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/>
      <c r="AI781" s="62"/>
      <c r="AJ781" s="62"/>
      <c r="AK781" s="62"/>
      <c r="AL781" s="62"/>
    </row>
    <row r="782" spans="1:38" ht="12.75" customHeight="1" x14ac:dyDescent="0.2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/>
      <c r="AI782" s="62"/>
      <c r="AJ782" s="62"/>
      <c r="AK782" s="62"/>
      <c r="AL782" s="62"/>
    </row>
    <row r="783" spans="1:38" ht="12.75" customHeight="1" x14ac:dyDescent="0.2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</row>
    <row r="784" spans="1:38" ht="12.75" customHeight="1" x14ac:dyDescent="0.2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62"/>
      <c r="AH784" s="62"/>
      <c r="AI784" s="62"/>
      <c r="AJ784" s="62"/>
      <c r="AK784" s="62"/>
      <c r="AL784" s="62"/>
    </row>
    <row r="785" spans="1:38" ht="12.75" customHeight="1" x14ac:dyDescent="0.2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</row>
    <row r="786" spans="1:38" ht="12.75" customHeight="1" x14ac:dyDescent="0.2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/>
      <c r="AI786" s="62"/>
      <c r="AJ786" s="62"/>
      <c r="AK786" s="62"/>
      <c r="AL786" s="62"/>
    </row>
    <row r="787" spans="1:38" ht="12.75" customHeight="1" x14ac:dyDescent="0.2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/>
      <c r="AI787" s="62"/>
      <c r="AJ787" s="62"/>
      <c r="AK787" s="62"/>
      <c r="AL787" s="62"/>
    </row>
    <row r="788" spans="1:38" ht="12.75" customHeight="1" x14ac:dyDescent="0.2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</row>
    <row r="789" spans="1:38" ht="12.75" customHeight="1" x14ac:dyDescent="0.2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/>
      <c r="AI789" s="62"/>
      <c r="AJ789" s="62"/>
      <c r="AK789" s="62"/>
      <c r="AL789" s="62"/>
    </row>
    <row r="790" spans="1:38" ht="12.75" customHeight="1" x14ac:dyDescent="0.2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/>
      <c r="AI790" s="62"/>
      <c r="AJ790" s="62"/>
      <c r="AK790" s="62"/>
      <c r="AL790" s="62"/>
    </row>
    <row r="791" spans="1:38" ht="12.75" customHeight="1" x14ac:dyDescent="0.2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/>
      <c r="AI791" s="62"/>
      <c r="AJ791" s="62"/>
      <c r="AK791" s="62"/>
      <c r="AL791" s="62"/>
    </row>
    <row r="792" spans="1:38" ht="12.75" customHeight="1" x14ac:dyDescent="0.2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/>
      <c r="AI792" s="62"/>
      <c r="AJ792" s="62"/>
      <c r="AK792" s="62"/>
      <c r="AL792" s="62"/>
    </row>
    <row r="793" spans="1:38" ht="12.75" customHeight="1" x14ac:dyDescent="0.2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</row>
    <row r="794" spans="1:38" ht="12.75" customHeight="1" x14ac:dyDescent="0.2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/>
      <c r="AI794" s="62"/>
      <c r="AJ794" s="62"/>
      <c r="AK794" s="62"/>
      <c r="AL794" s="62"/>
    </row>
    <row r="795" spans="1:38" ht="12.75" customHeight="1" x14ac:dyDescent="0.2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</row>
    <row r="796" spans="1:38" ht="12.75" customHeight="1" x14ac:dyDescent="0.2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</row>
    <row r="797" spans="1:38" ht="12.75" customHeight="1" x14ac:dyDescent="0.2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</row>
    <row r="798" spans="1:38" ht="12.75" customHeight="1" x14ac:dyDescent="0.2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</row>
    <row r="799" spans="1:38" ht="12.75" customHeight="1" x14ac:dyDescent="0.2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/>
      <c r="AI799" s="62"/>
      <c r="AJ799" s="62"/>
      <c r="AK799" s="62"/>
      <c r="AL799" s="62"/>
    </row>
    <row r="800" spans="1:38" ht="12.75" customHeight="1" x14ac:dyDescent="0.2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</row>
    <row r="801" spans="1:38" ht="12.75" customHeight="1" x14ac:dyDescent="0.2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</row>
    <row r="802" spans="1:38" ht="12.75" customHeight="1" x14ac:dyDescent="0.2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</row>
    <row r="803" spans="1:38" ht="12.75" customHeight="1" x14ac:dyDescent="0.2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</row>
    <row r="804" spans="1:38" ht="12.75" customHeight="1" x14ac:dyDescent="0.2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/>
      <c r="AI804" s="62"/>
      <c r="AJ804" s="62"/>
      <c r="AK804" s="62"/>
      <c r="AL804" s="62"/>
    </row>
    <row r="805" spans="1:38" ht="12.75" customHeight="1" x14ac:dyDescent="0.2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/>
      <c r="AI805" s="62"/>
      <c r="AJ805" s="62"/>
      <c r="AK805" s="62"/>
      <c r="AL805" s="62"/>
    </row>
    <row r="806" spans="1:38" ht="12.75" customHeight="1" x14ac:dyDescent="0.2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/>
      <c r="AI806" s="62"/>
      <c r="AJ806" s="62"/>
      <c r="AK806" s="62"/>
      <c r="AL806" s="62"/>
    </row>
    <row r="807" spans="1:38" ht="12.75" customHeight="1" x14ac:dyDescent="0.2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/>
      <c r="AI807" s="62"/>
      <c r="AJ807" s="62"/>
      <c r="AK807" s="62"/>
      <c r="AL807" s="62"/>
    </row>
    <row r="808" spans="1:38" ht="12.75" customHeight="1" x14ac:dyDescent="0.2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/>
      <c r="AI808" s="62"/>
      <c r="AJ808" s="62"/>
      <c r="AK808" s="62"/>
      <c r="AL808" s="62"/>
    </row>
    <row r="809" spans="1:38" ht="12.75" customHeight="1" x14ac:dyDescent="0.2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/>
      <c r="AI809" s="62"/>
      <c r="AJ809" s="62"/>
      <c r="AK809" s="62"/>
      <c r="AL809" s="62"/>
    </row>
    <row r="810" spans="1:38" ht="12.75" customHeight="1" x14ac:dyDescent="0.2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</row>
    <row r="811" spans="1:38" ht="12.75" customHeight="1" x14ac:dyDescent="0.2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/>
      <c r="AI811" s="62"/>
      <c r="AJ811" s="62"/>
      <c r="AK811" s="62"/>
      <c r="AL811" s="62"/>
    </row>
    <row r="812" spans="1:38" ht="12.75" customHeight="1" x14ac:dyDescent="0.2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/>
      <c r="AI812" s="62"/>
      <c r="AJ812" s="62"/>
      <c r="AK812" s="62"/>
      <c r="AL812" s="62"/>
    </row>
    <row r="813" spans="1:38" ht="12.75" customHeight="1" x14ac:dyDescent="0.2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/>
      <c r="AI813" s="62"/>
      <c r="AJ813" s="62"/>
      <c r="AK813" s="62"/>
      <c r="AL813" s="62"/>
    </row>
    <row r="814" spans="1:38" ht="12.75" customHeight="1" x14ac:dyDescent="0.2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/>
      <c r="AI814" s="62"/>
      <c r="AJ814" s="62"/>
      <c r="AK814" s="62"/>
      <c r="AL814" s="62"/>
    </row>
    <row r="815" spans="1:38" ht="12.75" customHeight="1" x14ac:dyDescent="0.2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/>
      <c r="AI815" s="62"/>
      <c r="AJ815" s="62"/>
      <c r="AK815" s="62"/>
      <c r="AL815" s="62"/>
    </row>
    <row r="816" spans="1:38" ht="12.75" customHeight="1" x14ac:dyDescent="0.2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/>
      <c r="AI816" s="62"/>
      <c r="AJ816" s="62"/>
      <c r="AK816" s="62"/>
      <c r="AL816" s="62"/>
    </row>
    <row r="817" spans="1:38" ht="12.75" customHeight="1" x14ac:dyDescent="0.2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/>
      <c r="AI817" s="62"/>
      <c r="AJ817" s="62"/>
      <c r="AK817" s="62"/>
      <c r="AL817" s="62"/>
    </row>
    <row r="818" spans="1:38" ht="12.75" customHeight="1" x14ac:dyDescent="0.2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/>
      <c r="AI818" s="62"/>
      <c r="AJ818" s="62"/>
      <c r="AK818" s="62"/>
      <c r="AL818" s="62"/>
    </row>
    <row r="819" spans="1:38" ht="12.75" customHeight="1" x14ac:dyDescent="0.2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/>
      <c r="AI819" s="62"/>
      <c r="AJ819" s="62"/>
      <c r="AK819" s="62"/>
      <c r="AL819" s="62"/>
    </row>
    <row r="820" spans="1:38" ht="12.75" customHeight="1" x14ac:dyDescent="0.2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/>
      <c r="AI820" s="62"/>
      <c r="AJ820" s="62"/>
      <c r="AK820" s="62"/>
      <c r="AL820" s="62"/>
    </row>
    <row r="821" spans="1:38" ht="12.75" customHeight="1" x14ac:dyDescent="0.2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/>
      <c r="AI821" s="62"/>
      <c r="AJ821" s="62"/>
      <c r="AK821" s="62"/>
      <c r="AL821" s="62"/>
    </row>
    <row r="822" spans="1:38" ht="12.75" customHeight="1" x14ac:dyDescent="0.2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/>
      <c r="AI822" s="62"/>
      <c r="AJ822" s="62"/>
      <c r="AK822" s="62"/>
      <c r="AL822" s="62"/>
    </row>
    <row r="823" spans="1:38" ht="12.75" customHeight="1" x14ac:dyDescent="0.2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/>
      <c r="AI823" s="62"/>
      <c r="AJ823" s="62"/>
      <c r="AK823" s="62"/>
      <c r="AL823" s="62"/>
    </row>
    <row r="824" spans="1:38" ht="12.75" customHeight="1" x14ac:dyDescent="0.2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/>
      <c r="AI824" s="62"/>
      <c r="AJ824" s="62"/>
      <c r="AK824" s="62"/>
      <c r="AL824" s="62"/>
    </row>
    <row r="825" spans="1:38" ht="12.75" customHeight="1" x14ac:dyDescent="0.2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/>
      <c r="AI825" s="62"/>
      <c r="AJ825" s="62"/>
      <c r="AK825" s="62"/>
      <c r="AL825" s="62"/>
    </row>
    <row r="826" spans="1:38" ht="12.75" customHeight="1" x14ac:dyDescent="0.2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/>
      <c r="AI826" s="62"/>
      <c r="AJ826" s="62"/>
      <c r="AK826" s="62"/>
      <c r="AL826" s="62"/>
    </row>
    <row r="827" spans="1:38" ht="12.75" customHeight="1" x14ac:dyDescent="0.2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</row>
    <row r="828" spans="1:38" ht="12.75" customHeight="1" x14ac:dyDescent="0.2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/>
      <c r="AI828" s="62"/>
      <c r="AJ828" s="62"/>
      <c r="AK828" s="62"/>
      <c r="AL828" s="62"/>
    </row>
    <row r="829" spans="1:38" ht="12.75" customHeight="1" x14ac:dyDescent="0.2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/>
      <c r="AI829" s="62"/>
      <c r="AJ829" s="62"/>
      <c r="AK829" s="62"/>
      <c r="AL829" s="62"/>
    </row>
    <row r="830" spans="1:38" ht="12.75" customHeight="1" x14ac:dyDescent="0.2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/>
      <c r="AI830" s="62"/>
      <c r="AJ830" s="62"/>
      <c r="AK830" s="62"/>
      <c r="AL830" s="62"/>
    </row>
    <row r="831" spans="1:38" ht="12.75" customHeight="1" x14ac:dyDescent="0.2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/>
      <c r="AI831" s="62"/>
      <c r="AJ831" s="62"/>
      <c r="AK831" s="62"/>
      <c r="AL831" s="62"/>
    </row>
    <row r="832" spans="1:38" ht="12.75" customHeight="1" x14ac:dyDescent="0.2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</row>
    <row r="833" spans="1:38" ht="12.75" customHeight="1" x14ac:dyDescent="0.2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/>
      <c r="AI833" s="62"/>
      <c r="AJ833" s="62"/>
      <c r="AK833" s="62"/>
      <c r="AL833" s="62"/>
    </row>
    <row r="834" spans="1:38" ht="12.75" customHeight="1" x14ac:dyDescent="0.2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/>
      <c r="AI834" s="62"/>
      <c r="AJ834" s="62"/>
      <c r="AK834" s="62"/>
      <c r="AL834" s="62"/>
    </row>
    <row r="835" spans="1:38" ht="12.75" customHeight="1" x14ac:dyDescent="0.2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</row>
    <row r="836" spans="1:38" ht="12.75" customHeight="1" x14ac:dyDescent="0.2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</row>
    <row r="837" spans="1:38" ht="12.75" customHeight="1" x14ac:dyDescent="0.2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</row>
    <row r="838" spans="1:38" ht="12.75" customHeight="1" x14ac:dyDescent="0.2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</row>
    <row r="839" spans="1:38" ht="12.75" customHeight="1" x14ac:dyDescent="0.2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</row>
    <row r="840" spans="1:38" ht="12.75" customHeight="1" x14ac:dyDescent="0.2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</row>
    <row r="841" spans="1:38" ht="12.75" customHeight="1" x14ac:dyDescent="0.2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</row>
    <row r="842" spans="1:38" ht="12.75" customHeight="1" x14ac:dyDescent="0.2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</row>
    <row r="843" spans="1:38" ht="12.75" customHeight="1" x14ac:dyDescent="0.2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</row>
    <row r="844" spans="1:38" ht="12.75" customHeight="1" x14ac:dyDescent="0.2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</row>
    <row r="845" spans="1:38" ht="12.75" customHeight="1" x14ac:dyDescent="0.2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</row>
    <row r="846" spans="1:38" ht="12.75" customHeight="1" x14ac:dyDescent="0.2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</row>
    <row r="847" spans="1:38" ht="12.75" customHeight="1" x14ac:dyDescent="0.2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</row>
    <row r="848" spans="1:38" ht="12.75" customHeight="1" x14ac:dyDescent="0.2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/>
      <c r="AI848" s="62"/>
      <c r="AJ848" s="62"/>
      <c r="AK848" s="62"/>
      <c r="AL848" s="62"/>
    </row>
    <row r="849" spans="1:38" ht="12.75" customHeight="1" x14ac:dyDescent="0.2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</row>
    <row r="850" spans="1:38" ht="12.75" customHeight="1" x14ac:dyDescent="0.2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</row>
    <row r="851" spans="1:38" ht="12.75" customHeight="1" x14ac:dyDescent="0.2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</row>
    <row r="852" spans="1:38" ht="12.75" customHeight="1" x14ac:dyDescent="0.2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</row>
    <row r="853" spans="1:38" ht="12.75" customHeight="1" x14ac:dyDescent="0.2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</row>
    <row r="854" spans="1:38" ht="12.75" customHeight="1" x14ac:dyDescent="0.2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</row>
    <row r="855" spans="1:38" ht="12.75" customHeight="1" x14ac:dyDescent="0.2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</row>
    <row r="856" spans="1:38" ht="12.75" customHeight="1" x14ac:dyDescent="0.2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</row>
    <row r="857" spans="1:38" ht="12.75" customHeight="1" x14ac:dyDescent="0.2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</row>
    <row r="858" spans="1:38" ht="12.75" customHeight="1" x14ac:dyDescent="0.2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</row>
    <row r="859" spans="1:38" ht="12.75" customHeight="1" x14ac:dyDescent="0.2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</row>
    <row r="860" spans="1:38" ht="12.75" customHeight="1" x14ac:dyDescent="0.2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</row>
    <row r="861" spans="1:38" ht="12.75" customHeight="1" x14ac:dyDescent="0.2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</row>
    <row r="862" spans="1:38" ht="12.75" customHeight="1" x14ac:dyDescent="0.2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</row>
    <row r="863" spans="1:38" ht="12.75" customHeight="1" x14ac:dyDescent="0.2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</row>
    <row r="864" spans="1:38" ht="12.75" customHeight="1" x14ac:dyDescent="0.2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</row>
    <row r="865" spans="1:38" ht="12.75" customHeight="1" x14ac:dyDescent="0.2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</row>
    <row r="866" spans="1:38" ht="12.75" customHeight="1" x14ac:dyDescent="0.2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</row>
    <row r="867" spans="1:38" ht="12.75" customHeight="1" x14ac:dyDescent="0.2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</row>
    <row r="868" spans="1:38" ht="12.75" customHeight="1" x14ac:dyDescent="0.2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</row>
    <row r="869" spans="1:38" ht="12.75" customHeight="1" x14ac:dyDescent="0.2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</row>
    <row r="870" spans="1:38" ht="12.75" customHeight="1" x14ac:dyDescent="0.2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</row>
    <row r="871" spans="1:38" ht="12.75" customHeight="1" x14ac:dyDescent="0.2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</row>
    <row r="872" spans="1:38" ht="12.75" customHeight="1" x14ac:dyDescent="0.2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</row>
    <row r="873" spans="1:38" ht="12.75" customHeight="1" x14ac:dyDescent="0.2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</row>
    <row r="874" spans="1:38" ht="12.75" customHeight="1" x14ac:dyDescent="0.2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</row>
    <row r="875" spans="1:38" ht="12.75" customHeight="1" x14ac:dyDescent="0.2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</row>
    <row r="876" spans="1:38" ht="12.75" customHeight="1" x14ac:dyDescent="0.2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</row>
    <row r="877" spans="1:38" ht="12.75" customHeight="1" x14ac:dyDescent="0.2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</row>
    <row r="878" spans="1:38" ht="12.75" customHeight="1" x14ac:dyDescent="0.2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</row>
    <row r="879" spans="1:38" ht="12.75" customHeight="1" x14ac:dyDescent="0.2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</row>
    <row r="880" spans="1:38" ht="12.75" customHeight="1" x14ac:dyDescent="0.2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</row>
    <row r="881" spans="1:38" ht="12.75" customHeight="1" x14ac:dyDescent="0.2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</row>
    <row r="882" spans="1:38" ht="12.75" customHeight="1" x14ac:dyDescent="0.2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</row>
    <row r="883" spans="1:38" ht="12.75" customHeight="1" x14ac:dyDescent="0.2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</row>
    <row r="884" spans="1:38" ht="12.75" customHeight="1" x14ac:dyDescent="0.2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</row>
    <row r="885" spans="1:38" ht="12.75" customHeight="1" x14ac:dyDescent="0.2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</row>
    <row r="886" spans="1:38" ht="12.75" customHeight="1" x14ac:dyDescent="0.2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</row>
    <row r="887" spans="1:38" ht="12.75" customHeight="1" x14ac:dyDescent="0.2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/>
      <c r="AI887" s="62"/>
      <c r="AJ887" s="62"/>
      <c r="AK887" s="62"/>
      <c r="AL887" s="62"/>
    </row>
    <row r="888" spans="1:38" ht="12.75" customHeight="1" x14ac:dyDescent="0.2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/>
      <c r="AI888" s="62"/>
      <c r="AJ888" s="62"/>
      <c r="AK888" s="62"/>
      <c r="AL888" s="62"/>
    </row>
    <row r="889" spans="1:38" ht="12.75" customHeight="1" x14ac:dyDescent="0.2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</row>
    <row r="890" spans="1:38" ht="12.75" customHeight="1" x14ac:dyDescent="0.2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</row>
    <row r="891" spans="1:38" ht="12.75" customHeight="1" x14ac:dyDescent="0.2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</row>
    <row r="892" spans="1:38" ht="12.75" customHeight="1" x14ac:dyDescent="0.2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</row>
    <row r="893" spans="1:38" ht="12.75" customHeight="1" x14ac:dyDescent="0.2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</row>
    <row r="894" spans="1:38" ht="12.75" customHeight="1" x14ac:dyDescent="0.2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</row>
    <row r="895" spans="1:38" ht="12.75" customHeight="1" x14ac:dyDescent="0.2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</row>
    <row r="896" spans="1:38" ht="12.75" customHeight="1" x14ac:dyDescent="0.2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</row>
    <row r="897" spans="1:38" ht="12.75" customHeight="1" x14ac:dyDescent="0.2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</row>
    <row r="898" spans="1:38" ht="12.75" customHeight="1" x14ac:dyDescent="0.2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</row>
    <row r="899" spans="1:38" ht="12.75" customHeight="1" x14ac:dyDescent="0.2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/>
      <c r="AI899" s="62"/>
      <c r="AJ899" s="62"/>
      <c r="AK899" s="62"/>
      <c r="AL899" s="62"/>
    </row>
    <row r="900" spans="1:38" ht="12.75" customHeight="1" x14ac:dyDescent="0.2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/>
      <c r="AI900" s="62"/>
      <c r="AJ900" s="62"/>
      <c r="AK900" s="62"/>
      <c r="AL900" s="62"/>
    </row>
    <row r="901" spans="1:38" ht="12.75" customHeight="1" x14ac:dyDescent="0.2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/>
      <c r="AI901" s="62"/>
      <c r="AJ901" s="62"/>
      <c r="AK901" s="62"/>
      <c r="AL901" s="62"/>
    </row>
    <row r="902" spans="1:38" ht="12.75" customHeight="1" x14ac:dyDescent="0.2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/>
      <c r="AI902" s="62"/>
      <c r="AJ902" s="62"/>
      <c r="AK902" s="62"/>
      <c r="AL902" s="62"/>
    </row>
    <row r="903" spans="1:38" ht="12.75" customHeight="1" x14ac:dyDescent="0.2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</row>
    <row r="904" spans="1:38" ht="12.75" customHeight="1" x14ac:dyDescent="0.2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/>
      <c r="AI904" s="62"/>
      <c r="AJ904" s="62"/>
      <c r="AK904" s="62"/>
      <c r="AL904" s="62"/>
    </row>
    <row r="905" spans="1:38" ht="12.75" customHeight="1" x14ac:dyDescent="0.2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/>
      <c r="AI905" s="62"/>
      <c r="AJ905" s="62"/>
      <c r="AK905" s="62"/>
      <c r="AL905" s="62"/>
    </row>
    <row r="906" spans="1:38" ht="12.75" customHeight="1" x14ac:dyDescent="0.2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/>
      <c r="AI906" s="62"/>
      <c r="AJ906" s="62"/>
      <c r="AK906" s="62"/>
      <c r="AL906" s="62"/>
    </row>
    <row r="907" spans="1:38" ht="12.75" customHeight="1" x14ac:dyDescent="0.2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</row>
    <row r="908" spans="1:38" ht="12.75" customHeight="1" x14ac:dyDescent="0.2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/>
      <c r="AI908" s="62"/>
      <c r="AJ908" s="62"/>
      <c r="AK908" s="62"/>
      <c r="AL908" s="62"/>
    </row>
    <row r="909" spans="1:38" ht="12.75" customHeight="1" x14ac:dyDescent="0.2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2"/>
    </row>
    <row r="910" spans="1:38" ht="12.75" customHeight="1" x14ac:dyDescent="0.2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/>
      <c r="AI910" s="62"/>
      <c r="AJ910" s="62"/>
      <c r="AK910" s="62"/>
      <c r="AL910" s="62"/>
    </row>
    <row r="911" spans="1:38" ht="12.75" customHeight="1" x14ac:dyDescent="0.2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/>
      <c r="AI911" s="62"/>
      <c r="AJ911" s="62"/>
      <c r="AK911" s="62"/>
      <c r="AL911" s="62"/>
    </row>
    <row r="912" spans="1:38" ht="12.75" customHeight="1" x14ac:dyDescent="0.2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/>
      <c r="AI912" s="62"/>
      <c r="AJ912" s="62"/>
      <c r="AK912" s="62"/>
      <c r="AL912" s="62"/>
    </row>
    <row r="913" spans="1:38" ht="12.75" customHeight="1" x14ac:dyDescent="0.2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  <c r="AG913" s="62"/>
      <c r="AH913" s="62"/>
      <c r="AI913" s="62"/>
      <c r="AJ913" s="62"/>
      <c r="AK913" s="62"/>
      <c r="AL913" s="62"/>
    </row>
    <row r="914" spans="1:38" ht="12.75" customHeight="1" x14ac:dyDescent="0.2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/>
      <c r="AI914" s="62"/>
      <c r="AJ914" s="62"/>
      <c r="AK914" s="62"/>
      <c r="AL914" s="62"/>
    </row>
    <row r="915" spans="1:38" ht="12.75" customHeight="1" x14ac:dyDescent="0.2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/>
      <c r="AI915" s="62"/>
      <c r="AJ915" s="62"/>
      <c r="AK915" s="62"/>
      <c r="AL915" s="62"/>
    </row>
    <row r="916" spans="1:38" ht="12.75" customHeight="1" x14ac:dyDescent="0.2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/>
      <c r="AI916" s="62"/>
      <c r="AJ916" s="62"/>
      <c r="AK916" s="62"/>
      <c r="AL916" s="62"/>
    </row>
    <row r="917" spans="1:38" ht="12.75" customHeight="1" x14ac:dyDescent="0.2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</row>
    <row r="918" spans="1:38" ht="12.75" customHeight="1" x14ac:dyDescent="0.2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</row>
    <row r="919" spans="1:38" ht="12.75" customHeight="1" x14ac:dyDescent="0.2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/>
      <c r="AI919" s="62"/>
      <c r="AJ919" s="62"/>
      <c r="AK919" s="62"/>
      <c r="AL919" s="62"/>
    </row>
    <row r="920" spans="1:38" ht="12.75" customHeight="1" x14ac:dyDescent="0.2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/>
      <c r="AI920" s="62"/>
      <c r="AJ920" s="62"/>
      <c r="AK920" s="62"/>
      <c r="AL920" s="62"/>
    </row>
    <row r="921" spans="1:38" ht="12.75" customHeight="1" x14ac:dyDescent="0.2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/>
      <c r="AI921" s="62"/>
      <c r="AJ921" s="62"/>
      <c r="AK921" s="62"/>
      <c r="AL921" s="62"/>
    </row>
    <row r="922" spans="1:38" ht="12.75" customHeight="1" x14ac:dyDescent="0.2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/>
      <c r="AI922" s="62"/>
      <c r="AJ922" s="62"/>
      <c r="AK922" s="62"/>
      <c r="AL922" s="62"/>
    </row>
    <row r="923" spans="1:38" ht="12.75" customHeight="1" x14ac:dyDescent="0.2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/>
      <c r="AI923" s="62"/>
      <c r="AJ923" s="62"/>
      <c r="AK923" s="62"/>
      <c r="AL923" s="62"/>
    </row>
    <row r="924" spans="1:38" ht="12.75" customHeight="1" x14ac:dyDescent="0.2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/>
      <c r="AI924" s="62"/>
      <c r="AJ924" s="62"/>
      <c r="AK924" s="62"/>
      <c r="AL924" s="62"/>
    </row>
    <row r="925" spans="1:38" ht="12.75" customHeight="1" x14ac:dyDescent="0.2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/>
      <c r="AI925" s="62"/>
      <c r="AJ925" s="62"/>
      <c r="AK925" s="62"/>
      <c r="AL925" s="62"/>
    </row>
    <row r="926" spans="1:38" ht="12.75" customHeight="1" x14ac:dyDescent="0.2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/>
      <c r="AI926" s="62"/>
      <c r="AJ926" s="62"/>
      <c r="AK926" s="62"/>
      <c r="AL926" s="62"/>
    </row>
    <row r="927" spans="1:38" ht="12.75" customHeight="1" x14ac:dyDescent="0.2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/>
      <c r="AI927" s="62"/>
      <c r="AJ927" s="62"/>
      <c r="AK927" s="62"/>
      <c r="AL927" s="62"/>
    </row>
    <row r="928" spans="1:38" ht="12.75" customHeight="1" x14ac:dyDescent="0.2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</row>
    <row r="929" spans="1:38" ht="12.75" customHeight="1" x14ac:dyDescent="0.2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</row>
    <row r="930" spans="1:38" ht="12.75" customHeight="1" x14ac:dyDescent="0.2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/>
      <c r="AI930" s="62"/>
      <c r="AJ930" s="62"/>
      <c r="AK930" s="62"/>
      <c r="AL930" s="62"/>
    </row>
    <row r="931" spans="1:38" ht="12.75" customHeight="1" x14ac:dyDescent="0.2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/>
      <c r="AI931" s="62"/>
      <c r="AJ931" s="62"/>
      <c r="AK931" s="62"/>
      <c r="AL931" s="62"/>
    </row>
    <row r="932" spans="1:38" ht="12.75" customHeight="1" x14ac:dyDescent="0.2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/>
      <c r="AI932" s="62"/>
      <c r="AJ932" s="62"/>
      <c r="AK932" s="62"/>
      <c r="AL932" s="62"/>
    </row>
    <row r="933" spans="1:38" ht="12.75" customHeight="1" x14ac:dyDescent="0.2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/>
      <c r="AI933" s="62"/>
      <c r="AJ933" s="62"/>
      <c r="AK933" s="62"/>
      <c r="AL933" s="62"/>
    </row>
    <row r="934" spans="1:38" ht="12.75" customHeight="1" x14ac:dyDescent="0.2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/>
      <c r="AI934" s="62"/>
      <c r="AJ934" s="62"/>
      <c r="AK934" s="62"/>
      <c r="AL934" s="62"/>
    </row>
    <row r="935" spans="1:38" ht="12.75" customHeight="1" x14ac:dyDescent="0.2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</row>
    <row r="936" spans="1:38" ht="12.75" customHeight="1" x14ac:dyDescent="0.2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</row>
    <row r="937" spans="1:38" ht="12.75" customHeight="1" x14ac:dyDescent="0.2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/>
      <c r="AI937" s="62"/>
      <c r="AJ937" s="62"/>
      <c r="AK937" s="62"/>
      <c r="AL937" s="62"/>
    </row>
    <row r="938" spans="1:38" ht="12.75" customHeight="1" x14ac:dyDescent="0.2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/>
      <c r="AI938" s="62"/>
      <c r="AJ938" s="62"/>
      <c r="AK938" s="62"/>
      <c r="AL938" s="62"/>
    </row>
    <row r="939" spans="1:38" ht="12.75" customHeight="1" x14ac:dyDescent="0.2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/>
      <c r="AI939" s="62"/>
      <c r="AJ939" s="62"/>
      <c r="AK939" s="62"/>
      <c r="AL939" s="62"/>
    </row>
    <row r="940" spans="1:38" ht="12.75" customHeight="1" x14ac:dyDescent="0.2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</row>
    <row r="941" spans="1:38" ht="12.75" customHeight="1" x14ac:dyDescent="0.2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</row>
    <row r="942" spans="1:38" ht="12.75" customHeight="1" x14ac:dyDescent="0.2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</row>
    <row r="943" spans="1:38" ht="12.75" customHeight="1" x14ac:dyDescent="0.2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/>
      <c r="AI943" s="62"/>
      <c r="AJ943" s="62"/>
      <c r="AK943" s="62"/>
      <c r="AL943" s="62"/>
    </row>
    <row r="944" spans="1:38" ht="12.75" customHeight="1" x14ac:dyDescent="0.2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</row>
    <row r="945" spans="1:38" ht="12.75" customHeight="1" x14ac:dyDescent="0.2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/>
      <c r="AI945" s="62"/>
      <c r="AJ945" s="62"/>
      <c r="AK945" s="62"/>
      <c r="AL945" s="62"/>
    </row>
    <row r="946" spans="1:38" ht="12.75" customHeight="1" x14ac:dyDescent="0.2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/>
      <c r="AI946" s="62"/>
      <c r="AJ946" s="62"/>
      <c r="AK946" s="62"/>
      <c r="AL946" s="62"/>
    </row>
    <row r="947" spans="1:38" ht="12.75" customHeight="1" x14ac:dyDescent="0.2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/>
      <c r="AI947" s="62"/>
      <c r="AJ947" s="62"/>
      <c r="AK947" s="62"/>
      <c r="AL947" s="62"/>
    </row>
    <row r="948" spans="1:38" ht="12.75" customHeight="1" x14ac:dyDescent="0.2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/>
      <c r="AI948" s="62"/>
      <c r="AJ948" s="62"/>
      <c r="AK948" s="62"/>
      <c r="AL948" s="62"/>
    </row>
    <row r="949" spans="1:38" ht="12.75" customHeight="1" x14ac:dyDescent="0.2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</row>
    <row r="950" spans="1:38" ht="12.75" customHeight="1" x14ac:dyDescent="0.2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</row>
    <row r="951" spans="1:38" ht="12.75" customHeight="1" x14ac:dyDescent="0.2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/>
      <c r="AI951" s="62"/>
      <c r="AJ951" s="62"/>
      <c r="AK951" s="62"/>
      <c r="AL951" s="62"/>
    </row>
    <row r="952" spans="1:38" ht="12.75" customHeight="1" x14ac:dyDescent="0.2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</row>
    <row r="953" spans="1:38" ht="12.75" customHeight="1" x14ac:dyDescent="0.2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/>
      <c r="AI953" s="62"/>
      <c r="AJ953" s="62"/>
      <c r="AK953" s="62"/>
      <c r="AL953" s="62"/>
    </row>
    <row r="954" spans="1:38" ht="12.75" customHeight="1" x14ac:dyDescent="0.2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/>
      <c r="AI954" s="62"/>
      <c r="AJ954" s="62"/>
      <c r="AK954" s="62"/>
      <c r="AL954" s="62"/>
    </row>
    <row r="955" spans="1:38" ht="12.75" customHeight="1" x14ac:dyDescent="0.2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/>
      <c r="AI955" s="62"/>
      <c r="AJ955" s="62"/>
      <c r="AK955" s="62"/>
      <c r="AL955" s="62"/>
    </row>
    <row r="956" spans="1:38" ht="12.75" customHeight="1" x14ac:dyDescent="0.2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</row>
    <row r="957" spans="1:38" ht="12.75" customHeight="1" x14ac:dyDescent="0.2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</row>
    <row r="958" spans="1:38" ht="12.75" customHeight="1" x14ac:dyDescent="0.2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</row>
    <row r="959" spans="1:38" ht="12.75" customHeight="1" x14ac:dyDescent="0.2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</row>
    <row r="960" spans="1:38" ht="12.75" customHeight="1" x14ac:dyDescent="0.2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/>
      <c r="AI960" s="62"/>
      <c r="AJ960" s="62"/>
      <c r="AK960" s="62"/>
      <c r="AL960" s="62"/>
    </row>
    <row r="961" spans="1:38" ht="12.75" customHeight="1" x14ac:dyDescent="0.2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</row>
    <row r="962" spans="1:38" ht="12.75" customHeight="1" x14ac:dyDescent="0.2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</row>
    <row r="963" spans="1:38" ht="12.75" customHeight="1" x14ac:dyDescent="0.2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</row>
    <row r="964" spans="1:38" ht="12.75" customHeight="1" x14ac:dyDescent="0.2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</row>
    <row r="965" spans="1:38" ht="12.75" customHeight="1" x14ac:dyDescent="0.2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</row>
    <row r="966" spans="1:38" ht="12.75" customHeight="1" x14ac:dyDescent="0.2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/>
      <c r="AI966" s="62"/>
      <c r="AJ966" s="62"/>
      <c r="AK966" s="62"/>
      <c r="AL966" s="62"/>
    </row>
    <row r="967" spans="1:38" ht="12.75" customHeight="1" x14ac:dyDescent="0.2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/>
      <c r="AI967" s="62"/>
      <c r="AJ967" s="62"/>
      <c r="AK967" s="62"/>
      <c r="AL967" s="62"/>
    </row>
    <row r="968" spans="1:38" ht="12.75" customHeight="1" x14ac:dyDescent="0.2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/>
      <c r="AI968" s="62"/>
      <c r="AJ968" s="62"/>
      <c r="AK968" s="62"/>
      <c r="AL968" s="62"/>
    </row>
    <row r="969" spans="1:38" ht="12.75" customHeight="1" x14ac:dyDescent="0.2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/>
      <c r="AH969" s="62"/>
      <c r="AI969" s="62"/>
      <c r="AJ969" s="62"/>
      <c r="AK969" s="62"/>
      <c r="AL969" s="62"/>
    </row>
    <row r="970" spans="1:38" ht="12.75" customHeight="1" x14ac:dyDescent="0.2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</row>
    <row r="971" spans="1:38" ht="12.75" customHeight="1" x14ac:dyDescent="0.2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</row>
    <row r="972" spans="1:38" ht="12.75" customHeight="1" x14ac:dyDescent="0.2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/>
      <c r="AI972" s="62"/>
      <c r="AJ972" s="62"/>
      <c r="AK972" s="62"/>
      <c r="AL972" s="62"/>
    </row>
    <row r="973" spans="1:38" ht="12.75" customHeight="1" x14ac:dyDescent="0.2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</row>
    <row r="974" spans="1:38" ht="12.75" customHeight="1" x14ac:dyDescent="0.2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/>
      <c r="AI974" s="62"/>
      <c r="AJ974" s="62"/>
      <c r="AK974" s="62"/>
      <c r="AL974" s="62"/>
    </row>
    <row r="975" spans="1:38" ht="12.75" customHeight="1" x14ac:dyDescent="0.2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</row>
    <row r="976" spans="1:38" ht="12.75" customHeight="1" x14ac:dyDescent="0.2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</row>
    <row r="977" spans="1:38" ht="12.75" customHeight="1" x14ac:dyDescent="0.2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</row>
    <row r="978" spans="1:38" ht="12.75" customHeight="1" x14ac:dyDescent="0.2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/>
      <c r="AI978" s="62"/>
      <c r="AJ978" s="62"/>
      <c r="AK978" s="62"/>
      <c r="AL978" s="62"/>
    </row>
    <row r="979" spans="1:38" ht="12.75" customHeight="1" x14ac:dyDescent="0.2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</row>
    <row r="980" spans="1:38" ht="12.75" customHeight="1" x14ac:dyDescent="0.2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</row>
    <row r="981" spans="1:38" ht="12.75" customHeight="1" x14ac:dyDescent="0.2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</row>
    <row r="982" spans="1:38" ht="12.75" customHeight="1" x14ac:dyDescent="0.2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</row>
    <row r="983" spans="1:38" ht="12.75" customHeight="1" x14ac:dyDescent="0.2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/>
      <c r="AI983" s="62"/>
      <c r="AJ983" s="62"/>
      <c r="AK983" s="62"/>
      <c r="AL983" s="62"/>
    </row>
    <row r="984" spans="1:38" ht="12.75" customHeight="1" x14ac:dyDescent="0.2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</row>
    <row r="985" spans="1:38" ht="12.75" customHeight="1" x14ac:dyDescent="0.2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</row>
    <row r="986" spans="1:38" ht="12.75" customHeight="1" x14ac:dyDescent="0.2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/>
      <c r="AI986" s="62"/>
      <c r="AJ986" s="62"/>
      <c r="AK986" s="62"/>
      <c r="AL986" s="62"/>
    </row>
    <row r="987" spans="1:38" ht="12.75" customHeight="1" x14ac:dyDescent="0.2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</row>
    <row r="988" spans="1:38" ht="12.75" customHeight="1" x14ac:dyDescent="0.2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</row>
    <row r="989" spans="1:38" ht="12.75" customHeight="1" x14ac:dyDescent="0.2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</row>
    <row r="990" spans="1:38" ht="12.75" customHeight="1" x14ac:dyDescent="0.2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/>
      <c r="AI990" s="62"/>
      <c r="AJ990" s="62"/>
      <c r="AK990" s="62"/>
      <c r="AL990" s="62"/>
    </row>
    <row r="991" spans="1:38" ht="12.75" customHeight="1" x14ac:dyDescent="0.2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/>
      <c r="AI991" s="62"/>
      <c r="AJ991" s="62"/>
      <c r="AK991" s="62"/>
      <c r="AL991" s="62"/>
    </row>
    <row r="992" spans="1:38" ht="12.75" customHeight="1" x14ac:dyDescent="0.2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  <c r="AG992" s="62"/>
      <c r="AH992" s="62"/>
      <c r="AI992" s="62"/>
      <c r="AJ992" s="62"/>
      <c r="AK992" s="62"/>
      <c r="AL992" s="62"/>
    </row>
    <row r="993" spans="1:38" ht="12.75" customHeight="1" x14ac:dyDescent="0.2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/>
      <c r="AI993" s="62"/>
      <c r="AJ993" s="62"/>
      <c r="AK993" s="62"/>
      <c r="AL993" s="62"/>
    </row>
    <row r="994" spans="1:38" ht="12.75" customHeight="1" x14ac:dyDescent="0.2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</row>
    <row r="995" spans="1:38" ht="12.75" customHeight="1" x14ac:dyDescent="0.2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/>
      <c r="AI995" s="62"/>
      <c r="AJ995" s="62"/>
      <c r="AK995" s="62"/>
      <c r="AL995" s="62"/>
    </row>
    <row r="996" spans="1:38" ht="12.75" customHeight="1" x14ac:dyDescent="0.2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/>
      <c r="AI996" s="62"/>
      <c r="AJ996" s="62"/>
      <c r="AK996" s="62"/>
      <c r="AL996" s="62"/>
    </row>
    <row r="997" spans="1:38" ht="12.75" customHeight="1" x14ac:dyDescent="0.2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/>
      <c r="AI997" s="62"/>
      <c r="AJ997" s="62"/>
      <c r="AK997" s="62"/>
      <c r="AL997" s="62"/>
    </row>
  </sheetData>
  <mergeCells count="203">
    <mergeCell ref="Q18:R18"/>
    <mergeCell ref="Q19:R19"/>
    <mergeCell ref="Q31:R31"/>
    <mergeCell ref="Q30:R30"/>
    <mergeCell ref="J20:K20"/>
    <mergeCell ref="Q20:R20"/>
    <mergeCell ref="Q33:R33"/>
    <mergeCell ref="Q32:R32"/>
    <mergeCell ref="Q26:R26"/>
    <mergeCell ref="Q25:R25"/>
    <mergeCell ref="Q27:R27"/>
    <mergeCell ref="J9:N9"/>
    <mergeCell ref="J8:N8"/>
    <mergeCell ref="R1:S1"/>
    <mergeCell ref="Q6:S6"/>
    <mergeCell ref="Q7:S7"/>
    <mergeCell ref="J7:N7"/>
    <mergeCell ref="I11:S11"/>
    <mergeCell ref="Q13:R13"/>
    <mergeCell ref="Q8:S8"/>
    <mergeCell ref="Q14:R14"/>
    <mergeCell ref="Q15:R15"/>
    <mergeCell ref="B12:B13"/>
    <mergeCell ref="J16:K16"/>
    <mergeCell ref="L15:M15"/>
    <mergeCell ref="L16:M16"/>
    <mergeCell ref="J14:K14"/>
    <mergeCell ref="L14:M14"/>
    <mergeCell ref="Q17:R17"/>
    <mergeCell ref="Q16:R16"/>
    <mergeCell ref="J50:K50"/>
    <mergeCell ref="J49:K49"/>
    <mergeCell ref="J22:K22"/>
    <mergeCell ref="J21:K21"/>
    <mergeCell ref="J25:K25"/>
    <mergeCell ref="J24:K24"/>
    <mergeCell ref="L20:M20"/>
    <mergeCell ref="L25:M25"/>
    <mergeCell ref="M46:N46"/>
    <mergeCell ref="J45:K46"/>
    <mergeCell ref="J47:K47"/>
    <mergeCell ref="L22:M22"/>
    <mergeCell ref="L23:M23"/>
    <mergeCell ref="J23:K23"/>
    <mergeCell ref="L24:M24"/>
    <mergeCell ref="L28:M28"/>
    <mergeCell ref="L33:M33"/>
    <mergeCell ref="L29:M29"/>
    <mergeCell ref="M50:N50"/>
    <mergeCell ref="M49:N49"/>
    <mergeCell ref="N82:O82"/>
    <mergeCell ref="N87:O87"/>
    <mergeCell ref="J27:K27"/>
    <mergeCell ref="J28:K28"/>
    <mergeCell ref="J86:K86"/>
    <mergeCell ref="J85:K85"/>
    <mergeCell ref="J87:K87"/>
    <mergeCell ref="N86:O86"/>
    <mergeCell ref="N85:O85"/>
    <mergeCell ref="J32:K32"/>
    <mergeCell ref="J33:K33"/>
    <mergeCell ref="L32:M32"/>
    <mergeCell ref="L31:M31"/>
    <mergeCell ref="L30:M30"/>
    <mergeCell ref="J31:K31"/>
    <mergeCell ref="J82:K82"/>
    <mergeCell ref="J83:K83"/>
    <mergeCell ref="N83:O83"/>
    <mergeCell ref="N84:O84"/>
    <mergeCell ref="O53:P53"/>
    <mergeCell ref="Q53:R53"/>
    <mergeCell ref="M52:N52"/>
    <mergeCell ref="M51:N51"/>
    <mergeCell ref="N88:O88"/>
    <mergeCell ref="J89:K89"/>
    <mergeCell ref="N89:O89"/>
    <mergeCell ref="J88:K88"/>
    <mergeCell ref="J91:K91"/>
    <mergeCell ref="N90:O90"/>
    <mergeCell ref="J84:K84"/>
    <mergeCell ref="I80:S80"/>
    <mergeCell ref="O69:S75"/>
    <mergeCell ref="Q82:S82"/>
    <mergeCell ref="O68:S68"/>
    <mergeCell ref="I69:N75"/>
    <mergeCell ref="Q83:S92"/>
    <mergeCell ref="J54:K54"/>
    <mergeCell ref="J52:K52"/>
    <mergeCell ref="O52:P52"/>
    <mergeCell ref="M55:N55"/>
    <mergeCell ref="O55:P55"/>
    <mergeCell ref="Q55:R55"/>
    <mergeCell ref="M56:N56"/>
    <mergeCell ref="I37:J37"/>
    <mergeCell ref="I38:J38"/>
    <mergeCell ref="I35:S35"/>
    <mergeCell ref="J48:K48"/>
    <mergeCell ref="L21:M21"/>
    <mergeCell ref="J30:K30"/>
    <mergeCell ref="J29:K29"/>
    <mergeCell ref="L27:M27"/>
    <mergeCell ref="L26:M26"/>
    <mergeCell ref="J26:K26"/>
    <mergeCell ref="Q23:R23"/>
    <mergeCell ref="Q24:R24"/>
    <mergeCell ref="Q22:R22"/>
    <mergeCell ref="Q21:R21"/>
    <mergeCell ref="Q29:R29"/>
    <mergeCell ref="Q28:R28"/>
    <mergeCell ref="J55:K55"/>
    <mergeCell ref="J56:K56"/>
    <mergeCell ref="J53:K53"/>
    <mergeCell ref="M53:N53"/>
    <mergeCell ref="M98:Q98"/>
    <mergeCell ref="M99:Q99"/>
    <mergeCell ref="M101:Q101"/>
    <mergeCell ref="M100:Q100"/>
    <mergeCell ref="O94:Q94"/>
    <mergeCell ref="O95:Q95"/>
    <mergeCell ref="L95:N95"/>
    <mergeCell ref="I2:S2"/>
    <mergeCell ref="J6:N6"/>
    <mergeCell ref="I4:S4"/>
    <mergeCell ref="J92:K92"/>
    <mergeCell ref="J90:K90"/>
    <mergeCell ref="J95:K95"/>
    <mergeCell ref="J13:K13"/>
    <mergeCell ref="L13:M13"/>
    <mergeCell ref="J15:K15"/>
    <mergeCell ref="J19:K19"/>
    <mergeCell ref="J18:K18"/>
    <mergeCell ref="L17:M17"/>
    <mergeCell ref="J17:K17"/>
    <mergeCell ref="L18:M18"/>
    <mergeCell ref="L19:M19"/>
    <mergeCell ref="Q63:R63"/>
    <mergeCell ref="Q64:R64"/>
    <mergeCell ref="O56:P56"/>
    <mergeCell ref="Q56:R56"/>
    <mergeCell ref="Q65:R65"/>
    <mergeCell ref="Q66:R66"/>
    <mergeCell ref="N92:O92"/>
    <mergeCell ref="N91:O91"/>
    <mergeCell ref="Q61:R61"/>
    <mergeCell ref="M64:N64"/>
    <mergeCell ref="M63:N63"/>
    <mergeCell ref="O63:P63"/>
    <mergeCell ref="Q62:R62"/>
    <mergeCell ref="M57:N57"/>
    <mergeCell ref="O57:P57"/>
    <mergeCell ref="M61:N61"/>
    <mergeCell ref="O61:P61"/>
    <mergeCell ref="Q58:R58"/>
    <mergeCell ref="M54:N54"/>
    <mergeCell ref="O54:P54"/>
    <mergeCell ref="O49:P49"/>
    <mergeCell ref="O51:P51"/>
    <mergeCell ref="I68:N68"/>
    <mergeCell ref="I43:S43"/>
    <mergeCell ref="Q52:R52"/>
    <mergeCell ref="I45:I46"/>
    <mergeCell ref="J58:K58"/>
    <mergeCell ref="Q60:R60"/>
    <mergeCell ref="Q54:R54"/>
    <mergeCell ref="Q51:R51"/>
    <mergeCell ref="J51:K51"/>
    <mergeCell ref="J57:K57"/>
    <mergeCell ref="O64:P64"/>
    <mergeCell ref="J64:K64"/>
    <mergeCell ref="J62:K62"/>
    <mergeCell ref="J60:K60"/>
    <mergeCell ref="M60:N60"/>
    <mergeCell ref="O60:P60"/>
    <mergeCell ref="Q59:R59"/>
    <mergeCell ref="Q57:R57"/>
    <mergeCell ref="M58:N58"/>
    <mergeCell ref="O58:P58"/>
    <mergeCell ref="M59:N59"/>
    <mergeCell ref="O59:P59"/>
    <mergeCell ref="O65:P65"/>
    <mergeCell ref="O66:P66"/>
    <mergeCell ref="M62:N62"/>
    <mergeCell ref="O62:P62"/>
    <mergeCell ref="J65:K65"/>
    <mergeCell ref="M65:N65"/>
    <mergeCell ref="J66:K66"/>
    <mergeCell ref="M66:N66"/>
    <mergeCell ref="J59:K59"/>
    <mergeCell ref="J63:K63"/>
    <mergeCell ref="J61:K61"/>
    <mergeCell ref="Q45:R46"/>
    <mergeCell ref="S45:S46"/>
    <mergeCell ref="M48:N48"/>
    <mergeCell ref="M47:N47"/>
    <mergeCell ref="Q49:R49"/>
    <mergeCell ref="Q47:R47"/>
    <mergeCell ref="O50:P50"/>
    <mergeCell ref="Q50:R50"/>
    <mergeCell ref="Q48:R48"/>
    <mergeCell ref="L45:P45"/>
    <mergeCell ref="O48:P48"/>
    <mergeCell ref="O46:P46"/>
    <mergeCell ref="O47:P47"/>
  </mergeCells>
  <dataValidations count="4">
    <dataValidation type="decimal" operator="greaterThanOrEqual" allowBlank="1" showInputMessage="1" showErrorMessage="1" prompt=" - " sqref="L14:L33 P15:P33 J47:J66 M47:M66 Q47:Q66 J83:J92 N83:N92">
      <formula1>0</formula1>
    </dataValidation>
    <dataValidation type="decimal" allowBlank="1" showInputMessage="1" showErrorMessage="1" prompt=" - " sqref="O15:O33">
      <formula1>0</formula1>
      <formula2>19</formula2>
    </dataValidation>
    <dataValidation type="decimal" allowBlank="1" showInputMessage="1" showErrorMessage="1" prompt=" - " sqref="L47:L66">
      <formula1>0</formula1>
      <formula2>99.99</formula2>
    </dataValidation>
    <dataValidation type="decimal" allowBlank="1" showInputMessage="1" showErrorMessage="1" prompt=" - " sqref="N15:N33">
      <formula1>0</formula1>
      <formula2>20</formula2>
    </dataValidation>
  </dataValidations>
  <pageMargins left="0.7" right="0.7" top="0.75" bottom="0.75" header="0" footer="0"/>
  <pageSetup fitToWidth="0" orientation="portrait"/>
  <headerFooter>
    <oddFooter>&amp;C&amp;P/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=" - ">
          <x14:formula1>
            <xm:f>Tabela!$B$2:$B$4</xm:f>
          </x14:formula1>
          <xm:sqref>Q14 Q16:Q33</xm:sqref>
        </x14:dataValidation>
        <x14:dataValidation type="list" allowBlank="1" showInputMessage="1" showErrorMessage="1" prompt=" - ">
          <x14:formula1>
            <xm:f>Tabela!$G$2:$G$3</xm:f>
          </x14:formula1>
          <xm:sqref>S14:S33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/>
  </sheetViews>
  <sheetFormatPr defaultColWidth="11.21875" defaultRowHeight="15" customHeight="1" x14ac:dyDescent="0.2"/>
  <cols>
    <col min="1" max="1" width="2.77734375" customWidth="1"/>
    <col min="2" max="2" width="10.109375" customWidth="1"/>
    <col min="3" max="3" width="26.109375" customWidth="1"/>
    <col min="4" max="4" width="17.21875" customWidth="1"/>
    <col min="5" max="5" width="11.44140625" customWidth="1"/>
    <col min="6" max="6" width="13.44140625" hidden="1" customWidth="1"/>
    <col min="7" max="7" width="9.21875" hidden="1" customWidth="1"/>
    <col min="8" max="8" width="2.77734375" hidden="1" customWidth="1"/>
    <col min="9" max="9" width="3.77734375" customWidth="1"/>
    <col min="10" max="10" width="4.44140625" customWidth="1"/>
    <col min="11" max="11" width="12" customWidth="1"/>
    <col min="12" max="12" width="10.21875" customWidth="1"/>
    <col min="13" max="13" width="6.6640625" customWidth="1"/>
    <col min="14" max="15" width="7.77734375" customWidth="1"/>
    <col min="16" max="16" width="8.88671875" customWidth="1"/>
    <col min="17" max="17" width="9.109375" customWidth="1"/>
    <col min="18" max="18" width="9.21875" customWidth="1"/>
    <col min="19" max="19" width="6.109375" customWidth="1"/>
    <col min="20" max="20" width="10.77734375" customWidth="1"/>
    <col min="21" max="22" width="8.77734375" customWidth="1"/>
    <col min="23" max="25" width="7.109375" customWidth="1"/>
    <col min="26" max="26" width="11.21875" customWidth="1"/>
    <col min="27" max="32" width="7.109375" customWidth="1"/>
  </cols>
  <sheetData>
    <row r="1" spans="1:32" ht="39.75" customHeight="1" x14ac:dyDescent="0.2">
      <c r="A1" s="15"/>
      <c r="B1" s="15"/>
      <c r="C1" s="15"/>
      <c r="D1" s="15"/>
      <c r="E1" s="16" t="s">
        <v>2</v>
      </c>
      <c r="F1" s="16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ht="24.75" customHeight="1" x14ac:dyDescent="0.25">
      <c r="A2" s="15"/>
      <c r="B2" s="15"/>
      <c r="C2" s="15"/>
      <c r="D2" s="15"/>
      <c r="E2" s="52">
        <v>1</v>
      </c>
      <c r="F2" s="17"/>
      <c r="G2" s="15"/>
      <c r="H2" s="15"/>
      <c r="I2" s="331" t="s">
        <v>53</v>
      </c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90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</row>
    <row r="3" spans="1:32" ht="15.75" x14ac:dyDescent="0.2">
      <c r="A3" s="15"/>
      <c r="B3" s="15"/>
      <c r="C3" s="15"/>
      <c r="D3" s="15"/>
      <c r="E3" s="52">
        <v>1</v>
      </c>
      <c r="F3" s="15"/>
      <c r="G3" s="15"/>
      <c r="H3" s="15"/>
      <c r="I3" s="53"/>
      <c r="J3" s="53"/>
      <c r="K3" s="53"/>
      <c r="L3" s="53"/>
      <c r="M3" s="53"/>
      <c r="N3" s="53"/>
      <c r="O3" s="53"/>
      <c r="P3" s="53"/>
      <c r="Q3" s="53"/>
      <c r="R3" s="53"/>
      <c r="S3" s="337">
        <f ca="1">NOW()</f>
        <v>43181.370863657408</v>
      </c>
      <c r="T3" s="290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</row>
    <row r="4" spans="1:32" ht="19.5" customHeight="1" x14ac:dyDescent="0.2">
      <c r="A4" s="15"/>
      <c r="B4" s="15"/>
      <c r="C4" s="15"/>
      <c r="D4" s="15"/>
      <c r="E4" s="52">
        <v>1</v>
      </c>
      <c r="F4" s="15"/>
      <c r="G4" s="15"/>
      <c r="H4" s="15"/>
      <c r="I4" s="331" t="s">
        <v>6</v>
      </c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90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</row>
    <row r="5" spans="1:32" ht="9.75" customHeight="1" x14ac:dyDescent="0.2">
      <c r="A5" s="15"/>
      <c r="B5" s="15"/>
      <c r="C5" s="15"/>
      <c r="D5" s="15"/>
      <c r="E5" s="52">
        <v>1</v>
      </c>
      <c r="F5" s="15"/>
      <c r="G5" s="15"/>
      <c r="H5" s="15"/>
      <c r="I5" s="53"/>
      <c r="J5" s="53"/>
      <c r="K5" s="53"/>
      <c r="L5" s="53"/>
      <c r="M5" s="53"/>
      <c r="N5" s="53"/>
      <c r="O5" s="53"/>
      <c r="P5" s="53"/>
      <c r="Q5" s="53"/>
      <c r="R5" s="53"/>
      <c r="S5" s="55"/>
      <c r="T5" s="5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</row>
    <row r="6" spans="1:32" ht="15.75" x14ac:dyDescent="0.2">
      <c r="A6" s="15"/>
      <c r="B6" s="15"/>
      <c r="C6" s="15"/>
      <c r="D6" s="15"/>
      <c r="E6" s="52">
        <v>1</v>
      </c>
      <c r="F6" s="15"/>
      <c r="G6" s="15"/>
      <c r="H6" s="15"/>
      <c r="I6" s="53" t="s">
        <v>7</v>
      </c>
      <c r="J6" s="57"/>
      <c r="K6" s="53" t="str">
        <f>IF(Proposta!J6="","",Proposta!J6)</f>
        <v/>
      </c>
      <c r="L6" s="58"/>
      <c r="M6" s="58"/>
      <c r="N6" s="58"/>
      <c r="O6" s="58"/>
      <c r="P6" s="53" t="s">
        <v>11</v>
      </c>
      <c r="Q6" s="58" t="str">
        <f>IF(Proposta!J8="","",Proposta!J8)</f>
        <v>Rural</v>
      </c>
      <c r="R6" s="58"/>
      <c r="S6" s="53" t="s">
        <v>55</v>
      </c>
      <c r="T6" s="59" t="str">
        <f>IF(Proposta!Q6="","",Proposta!Q6)</f>
        <v/>
      </c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</row>
    <row r="7" spans="1:32" ht="15.75" x14ac:dyDescent="0.2">
      <c r="A7" s="15"/>
      <c r="B7" s="15"/>
      <c r="C7" s="15"/>
      <c r="D7" s="15"/>
      <c r="E7" s="52">
        <v>1</v>
      </c>
      <c r="F7" s="15"/>
      <c r="G7" s="15"/>
      <c r="H7" s="15"/>
      <c r="I7" s="53" t="s">
        <v>9</v>
      </c>
      <c r="J7" s="57"/>
      <c r="K7" s="53" t="str">
        <f>IF(Proposta!J7="","",Proposta!J7)</f>
        <v/>
      </c>
      <c r="L7" s="58"/>
      <c r="M7" s="58"/>
      <c r="N7" s="58"/>
      <c r="O7" s="58"/>
      <c r="P7" s="53" t="s">
        <v>14</v>
      </c>
      <c r="Q7" s="58" t="str">
        <f>IF(Proposta!J9="","",Proposta!J9)</f>
        <v>Mini</v>
      </c>
      <c r="R7" s="58"/>
      <c r="S7" s="58"/>
      <c r="T7" s="5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</row>
    <row r="8" spans="1:32" ht="15.75" x14ac:dyDescent="0.2">
      <c r="A8" s="15"/>
      <c r="B8" s="15"/>
      <c r="C8" s="15"/>
      <c r="D8" s="15"/>
      <c r="E8" s="52">
        <v>1</v>
      </c>
      <c r="F8" s="15"/>
      <c r="G8" s="15"/>
      <c r="H8" s="15"/>
      <c r="I8" s="53" t="s">
        <v>10</v>
      </c>
      <c r="J8" s="57"/>
      <c r="K8" s="53" t="str">
        <f>IF(Proposta!Q7="","",Proposta!Q7)</f>
        <v/>
      </c>
      <c r="L8" s="58"/>
      <c r="M8" s="58"/>
      <c r="N8" s="58"/>
      <c r="O8" s="58"/>
      <c r="P8" s="53" t="s">
        <v>13</v>
      </c>
      <c r="Q8" s="59" t="str">
        <f>IF(Proposta!Q8="","",Proposta!Q8)</f>
        <v/>
      </c>
      <c r="R8" s="58"/>
      <c r="S8" s="58"/>
      <c r="T8" s="5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</row>
    <row r="9" spans="1:32" ht="9.75" customHeight="1" x14ac:dyDescent="0.2">
      <c r="A9" s="15"/>
      <c r="B9" s="15"/>
      <c r="C9" s="15"/>
      <c r="D9" s="15"/>
      <c r="E9" s="52">
        <v>1</v>
      </c>
      <c r="F9" s="15"/>
      <c r="G9" s="15"/>
      <c r="H9" s="15"/>
      <c r="I9" s="55"/>
      <c r="J9" s="55"/>
      <c r="K9" s="55"/>
      <c r="L9" s="55"/>
      <c r="M9" s="55"/>
      <c r="N9" s="55"/>
      <c r="O9" s="55"/>
      <c r="P9" s="53"/>
      <c r="Q9" s="53"/>
      <c r="R9" s="53"/>
      <c r="S9" s="55"/>
      <c r="T9" s="5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</row>
    <row r="10" spans="1:32" ht="19.5" customHeight="1" x14ac:dyDescent="0.2">
      <c r="A10" s="15"/>
      <c r="B10" s="15"/>
      <c r="C10" s="15"/>
      <c r="D10" s="15"/>
      <c r="E10" s="52">
        <v>1</v>
      </c>
      <c r="F10" s="15"/>
      <c r="G10" s="15"/>
      <c r="H10" s="15"/>
      <c r="I10" s="331" t="s">
        <v>16</v>
      </c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90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ht="9.75" customHeight="1" x14ac:dyDescent="0.2">
      <c r="A11" s="15"/>
      <c r="B11" s="319"/>
      <c r="C11" s="16"/>
      <c r="D11" s="16"/>
      <c r="E11" s="52">
        <v>1</v>
      </c>
      <c r="F11" s="16"/>
      <c r="G11" s="16"/>
      <c r="H11" s="15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5"/>
      <c r="T11" s="55"/>
      <c r="U11" s="15"/>
      <c r="V11" s="16"/>
      <c r="W11" s="15"/>
      <c r="X11" s="16"/>
      <c r="Y11" s="15"/>
      <c r="Z11" s="15"/>
      <c r="AA11" s="15"/>
      <c r="AB11" s="15"/>
      <c r="AC11" s="15"/>
      <c r="AD11" s="15"/>
      <c r="AE11" s="15"/>
      <c r="AF11" s="15"/>
    </row>
    <row r="12" spans="1:32" ht="34.5" customHeight="1" x14ac:dyDescent="0.2">
      <c r="A12" s="15"/>
      <c r="B12" s="280"/>
      <c r="C12" s="24"/>
      <c r="D12" s="24"/>
      <c r="E12" s="52">
        <v>1</v>
      </c>
      <c r="F12" s="24"/>
      <c r="G12" s="25"/>
      <c r="H12" s="15"/>
      <c r="I12" s="63"/>
      <c r="J12" s="64" t="s">
        <v>58</v>
      </c>
      <c r="K12" s="329" t="s">
        <v>24</v>
      </c>
      <c r="L12" s="282"/>
      <c r="M12" s="329" t="s">
        <v>25</v>
      </c>
      <c r="N12" s="282"/>
      <c r="O12" s="65" t="s">
        <v>26</v>
      </c>
      <c r="P12" s="65" t="s">
        <v>27</v>
      </c>
      <c r="Q12" s="65" t="s">
        <v>28</v>
      </c>
      <c r="R12" s="329" t="s">
        <v>29</v>
      </c>
      <c r="S12" s="282"/>
      <c r="T12" s="66"/>
      <c r="U12" s="15"/>
      <c r="V12" s="29"/>
      <c r="W12" s="15"/>
      <c r="X12" s="15"/>
      <c r="Y12" s="15"/>
      <c r="Z12" s="67"/>
      <c r="AA12" s="15"/>
      <c r="AB12" s="15"/>
      <c r="AC12" s="15"/>
      <c r="AD12" s="15"/>
      <c r="AE12" s="15"/>
      <c r="AF12" s="15"/>
    </row>
    <row r="13" spans="1:32" ht="19.5" customHeight="1" x14ac:dyDescent="0.2">
      <c r="A13" s="15"/>
      <c r="B13" s="30"/>
      <c r="C13" s="24"/>
      <c r="D13" s="24"/>
      <c r="E13" s="52">
        <v>0</v>
      </c>
      <c r="F13" s="24"/>
      <c r="G13" s="31"/>
      <c r="H13" s="15"/>
      <c r="I13" s="68"/>
      <c r="J13" s="69"/>
      <c r="K13" s="330"/>
      <c r="L13" s="313"/>
      <c r="M13" s="333"/>
      <c r="N13" s="313"/>
      <c r="O13" s="70"/>
      <c r="P13" s="70"/>
      <c r="Q13" s="71"/>
      <c r="R13" s="339"/>
      <c r="S13" s="313"/>
      <c r="T13" s="72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ht="15.75" x14ac:dyDescent="0.2">
      <c r="A14" s="15"/>
      <c r="B14" s="30"/>
      <c r="C14" s="24"/>
      <c r="D14" s="24"/>
      <c r="E14" s="52">
        <f>Proposta!G15</f>
        <v>1</v>
      </c>
      <c r="F14" s="24"/>
      <c r="G14" s="31"/>
      <c r="H14" s="15"/>
      <c r="I14" s="63"/>
      <c r="J14" s="73"/>
      <c r="K14" s="327" t="str">
        <f>IF(Proposta!J15="","",Proposta!J15)</f>
        <v/>
      </c>
      <c r="L14" s="274"/>
      <c r="M14" s="326">
        <f>IF(Proposta!L15="","",Proposta!L15)</f>
        <v>20000</v>
      </c>
      <c r="N14" s="274"/>
      <c r="O14" s="76">
        <f>IF(Proposta!N15="","",Proposta!N15)</f>
        <v>20</v>
      </c>
      <c r="P14" s="76">
        <f>IF(Proposta!O15="","",Proposta!O15)</f>
        <v>3</v>
      </c>
      <c r="Q14" s="77">
        <f>IF(Proposta!P15="","",Proposta!P15)</f>
        <v>1</v>
      </c>
      <c r="R14" s="332" t="str">
        <f>IF(Proposta!Q15="","",V14)</f>
        <v>Capitalizáveis</v>
      </c>
      <c r="S14" s="274"/>
      <c r="T14" s="76"/>
      <c r="U14" s="15"/>
      <c r="V14" s="15" t="str">
        <f>VLOOKUP(Proposta!Q15,Tabela!$B$6:$C$8,2,0)</f>
        <v>Capitalizáveis</v>
      </c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ht="19.5" customHeight="1" x14ac:dyDescent="0.2">
      <c r="A15" s="15"/>
      <c r="B15" s="30"/>
      <c r="C15" s="24"/>
      <c r="D15" s="24"/>
      <c r="E15" s="52">
        <f>Proposta!G16</f>
        <v>0</v>
      </c>
      <c r="F15" s="24"/>
      <c r="G15" s="31"/>
      <c r="H15" s="15"/>
      <c r="I15" s="63"/>
      <c r="J15" s="73"/>
      <c r="K15" s="327" t="str">
        <f>IF(Proposta!J16="","",Proposta!J16)</f>
        <v/>
      </c>
      <c r="L15" s="274"/>
      <c r="M15" s="326" t="str">
        <f>IF(Proposta!L16="","",Proposta!L16)</f>
        <v/>
      </c>
      <c r="N15" s="274"/>
      <c r="O15" s="76" t="str">
        <f>IF(Proposta!N16="","",Proposta!N16)</f>
        <v/>
      </c>
      <c r="P15" s="76" t="str">
        <f>IF(Proposta!O16="","",Proposta!O16)</f>
        <v/>
      </c>
      <c r="Q15" s="77" t="str">
        <f>IF(Proposta!P16="","",Proposta!P16)</f>
        <v/>
      </c>
      <c r="R15" s="332" t="str">
        <f>IF(Proposta!Q16="","",V15)</f>
        <v/>
      </c>
      <c r="S15" s="274"/>
      <c r="T15" s="76" t="str">
        <f>IF(Proposta!S16="","",Proposta!S16)</f>
        <v/>
      </c>
      <c r="U15" s="15"/>
      <c r="V15" s="15" t="e">
        <f>VLOOKUP(Proposta!Q16,Tabela!$B$6:$C$8,2,0)</f>
        <v>#N/A</v>
      </c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ht="19.5" customHeight="1" x14ac:dyDescent="0.2">
      <c r="A16" s="15"/>
      <c r="B16" s="30"/>
      <c r="C16" s="24"/>
      <c r="D16" s="24"/>
      <c r="E16" s="52">
        <f>Proposta!G17</f>
        <v>0</v>
      </c>
      <c r="F16" s="24"/>
      <c r="G16" s="31"/>
      <c r="H16" s="15"/>
      <c r="I16" s="63"/>
      <c r="J16" s="73"/>
      <c r="K16" s="327" t="str">
        <f>IF(Proposta!J17="","",Proposta!J17)</f>
        <v/>
      </c>
      <c r="L16" s="274"/>
      <c r="M16" s="326" t="str">
        <f>IF(Proposta!L17="","",Proposta!L17)</f>
        <v/>
      </c>
      <c r="N16" s="274"/>
      <c r="O16" s="76" t="str">
        <f>IF(Proposta!N17="","",Proposta!N17)</f>
        <v/>
      </c>
      <c r="P16" s="76" t="str">
        <f>IF(Proposta!O17="","",Proposta!O17)</f>
        <v/>
      </c>
      <c r="Q16" s="77" t="str">
        <f>IF(Proposta!P17="","",Proposta!P17)</f>
        <v/>
      </c>
      <c r="R16" s="332" t="str">
        <f>IF(Proposta!Q17="","",V16)</f>
        <v/>
      </c>
      <c r="S16" s="274"/>
      <c r="T16" s="76" t="str">
        <f>IF(Proposta!S17="","",Proposta!S17)</f>
        <v/>
      </c>
      <c r="U16" s="15"/>
      <c r="V16" s="15" t="e">
        <f>VLOOKUP(Proposta!Q17,Tabela!$B$6:$C$8,2,0)</f>
        <v>#N/A</v>
      </c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ht="19.5" customHeight="1" x14ac:dyDescent="0.2">
      <c r="A17" s="15"/>
      <c r="B17" s="30"/>
      <c r="C17" s="24"/>
      <c r="D17" s="24"/>
      <c r="E17" s="52">
        <f>Proposta!G18</f>
        <v>0</v>
      </c>
      <c r="F17" s="24"/>
      <c r="G17" s="31"/>
      <c r="H17" s="15"/>
      <c r="I17" s="63"/>
      <c r="J17" s="73"/>
      <c r="K17" s="327" t="str">
        <f>IF(Proposta!J18="","",Proposta!J18)</f>
        <v/>
      </c>
      <c r="L17" s="274"/>
      <c r="M17" s="326" t="str">
        <f>IF(Proposta!L18="","",Proposta!L18)</f>
        <v/>
      </c>
      <c r="N17" s="274"/>
      <c r="O17" s="76" t="str">
        <f>IF(Proposta!N18="","",Proposta!N18)</f>
        <v/>
      </c>
      <c r="P17" s="76" t="str">
        <f>IF(Proposta!O18="","",Proposta!O18)</f>
        <v/>
      </c>
      <c r="Q17" s="77" t="str">
        <f>IF(Proposta!P18="","",Proposta!P18)</f>
        <v/>
      </c>
      <c r="R17" s="332" t="str">
        <f>IF(Proposta!Q18="","",V17)</f>
        <v/>
      </c>
      <c r="S17" s="274"/>
      <c r="T17" s="76" t="str">
        <f>IF(Proposta!S18="","",Proposta!S18)</f>
        <v/>
      </c>
      <c r="U17" s="15"/>
      <c r="V17" s="15" t="e">
        <f>VLOOKUP(Proposta!Q18,Tabela!$B$6:$C$8,2,0)</f>
        <v>#N/A</v>
      </c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ht="19.5" customHeight="1" x14ac:dyDescent="0.2">
      <c r="A18" s="15"/>
      <c r="B18" s="30"/>
      <c r="C18" s="24"/>
      <c r="D18" s="24"/>
      <c r="E18" s="52">
        <f>Proposta!G19</f>
        <v>0</v>
      </c>
      <c r="F18" s="24"/>
      <c r="G18" s="31"/>
      <c r="H18" s="15"/>
      <c r="I18" s="63"/>
      <c r="J18" s="73"/>
      <c r="K18" s="338" t="str">
        <f>IF(Proposta!J19="","",Proposta!J19)</f>
        <v>,</v>
      </c>
      <c r="L18" s="274"/>
      <c r="M18" s="326" t="str">
        <f>IF(Proposta!L19="","",Proposta!L19)</f>
        <v/>
      </c>
      <c r="N18" s="274"/>
      <c r="O18" s="76" t="str">
        <f>IF(Proposta!N19="","",Proposta!N19)</f>
        <v/>
      </c>
      <c r="P18" s="76" t="str">
        <f>IF(Proposta!O19="","",Proposta!O19)</f>
        <v/>
      </c>
      <c r="Q18" s="77" t="str">
        <f>IF(Proposta!P19="","",Proposta!P19)</f>
        <v/>
      </c>
      <c r="R18" s="332" t="str">
        <f>IF(Proposta!Q19="","",V18)</f>
        <v/>
      </c>
      <c r="S18" s="274"/>
      <c r="T18" s="76" t="str">
        <f>IF(Proposta!S19="","",Proposta!S19)</f>
        <v/>
      </c>
      <c r="U18" s="15"/>
      <c r="V18" s="15" t="e">
        <f>VLOOKUP(Proposta!Q19,Tabela!$B$6:$C$8,2,0)</f>
        <v>#N/A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ht="19.5" customHeight="1" x14ac:dyDescent="0.2">
      <c r="A19" s="15"/>
      <c r="B19" s="30"/>
      <c r="C19" s="24"/>
      <c r="D19" s="24"/>
      <c r="E19" s="52">
        <f>Proposta!G20</f>
        <v>0</v>
      </c>
      <c r="F19" s="24"/>
      <c r="G19" s="31"/>
      <c r="H19" s="15"/>
      <c r="I19" s="63"/>
      <c r="J19" s="73"/>
      <c r="K19" s="327" t="str">
        <f>IF(Proposta!J20="","",Proposta!J20)</f>
        <v/>
      </c>
      <c r="L19" s="274"/>
      <c r="M19" s="326" t="str">
        <f>IF(Proposta!L20="","",Proposta!L20)</f>
        <v/>
      </c>
      <c r="N19" s="274"/>
      <c r="O19" s="76" t="str">
        <f>IF(Proposta!N20="","",Proposta!N20)</f>
        <v/>
      </c>
      <c r="P19" s="76" t="str">
        <f>IF(Proposta!O20="","",Proposta!O20)</f>
        <v/>
      </c>
      <c r="Q19" s="77" t="str">
        <f>IF(Proposta!P20="","",Proposta!P20)</f>
        <v/>
      </c>
      <c r="R19" s="332" t="str">
        <f>IF(Proposta!Q20="","",V19)</f>
        <v/>
      </c>
      <c r="S19" s="274"/>
      <c r="T19" s="76" t="str">
        <f>IF(Proposta!S20="","",Proposta!S20)</f>
        <v/>
      </c>
      <c r="U19" s="15"/>
      <c r="V19" s="15" t="e">
        <f>VLOOKUP(Proposta!Q20,Tabela!$B$6:$C$8,2,0)</f>
        <v>#N/A</v>
      </c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ht="19.5" customHeight="1" x14ac:dyDescent="0.2">
      <c r="A20" s="15"/>
      <c r="B20" s="30"/>
      <c r="C20" s="24"/>
      <c r="D20" s="24"/>
      <c r="E20" s="52">
        <f>Proposta!G21</f>
        <v>0</v>
      </c>
      <c r="F20" s="24"/>
      <c r="G20" s="31"/>
      <c r="H20" s="15"/>
      <c r="I20" s="63"/>
      <c r="J20" s="73"/>
      <c r="K20" s="327" t="str">
        <f>IF(Proposta!J21="","",Proposta!J21)</f>
        <v/>
      </c>
      <c r="L20" s="274"/>
      <c r="M20" s="326" t="str">
        <f>IF(Proposta!L21="","",Proposta!L21)</f>
        <v/>
      </c>
      <c r="N20" s="274"/>
      <c r="O20" s="76" t="str">
        <f>IF(Proposta!N21="","",Proposta!N21)</f>
        <v/>
      </c>
      <c r="P20" s="76" t="str">
        <f>IF(Proposta!O21="","",Proposta!O21)</f>
        <v/>
      </c>
      <c r="Q20" s="77" t="str">
        <f>IF(Proposta!P21="","",Proposta!P21)</f>
        <v/>
      </c>
      <c r="R20" s="332" t="str">
        <f>IF(Proposta!Q21="","",V20)</f>
        <v/>
      </c>
      <c r="S20" s="274"/>
      <c r="T20" s="76" t="str">
        <f>IF(Proposta!S21="","",Proposta!S21)</f>
        <v/>
      </c>
      <c r="U20" s="15"/>
      <c r="V20" s="15" t="e">
        <f>VLOOKUP(Proposta!Q21,Tabela!$B$6:$C$8,2,0)</f>
        <v>#N/A</v>
      </c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ht="19.5" customHeight="1" x14ac:dyDescent="0.2">
      <c r="A21" s="15"/>
      <c r="B21" s="30"/>
      <c r="C21" s="24"/>
      <c r="D21" s="24"/>
      <c r="E21" s="52">
        <f>Proposta!G22</f>
        <v>0</v>
      </c>
      <c r="F21" s="24"/>
      <c r="G21" s="31"/>
      <c r="H21" s="15"/>
      <c r="I21" s="63"/>
      <c r="J21" s="73"/>
      <c r="K21" s="327" t="str">
        <f>IF(Proposta!J22="","",Proposta!J22)</f>
        <v/>
      </c>
      <c r="L21" s="274"/>
      <c r="M21" s="326" t="str">
        <f>IF(Proposta!L22="","",Proposta!L22)</f>
        <v/>
      </c>
      <c r="N21" s="274"/>
      <c r="O21" s="76" t="str">
        <f>IF(Proposta!N22="","",Proposta!N22)</f>
        <v/>
      </c>
      <c r="P21" s="76" t="str">
        <f>IF(Proposta!O22="","",Proposta!O22)</f>
        <v/>
      </c>
      <c r="Q21" s="77" t="str">
        <f>IF(Proposta!P22="","",Proposta!P22)</f>
        <v/>
      </c>
      <c r="R21" s="332" t="str">
        <f>IF(Proposta!Q22="","",V21)</f>
        <v/>
      </c>
      <c r="S21" s="274"/>
      <c r="T21" s="76" t="str">
        <f>IF(Proposta!S22="","",Proposta!S22)</f>
        <v/>
      </c>
      <c r="U21" s="15"/>
      <c r="V21" s="15" t="e">
        <f>VLOOKUP(Proposta!Q22,Tabela!$B$6:$C$8,2,0)</f>
        <v>#N/A</v>
      </c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ht="19.5" customHeight="1" x14ac:dyDescent="0.2">
      <c r="A22" s="15"/>
      <c r="B22" s="30"/>
      <c r="C22" s="24"/>
      <c r="D22" s="24"/>
      <c r="E22" s="52">
        <f>Proposta!G23</f>
        <v>0</v>
      </c>
      <c r="F22" s="24"/>
      <c r="G22" s="31"/>
      <c r="H22" s="15"/>
      <c r="I22" s="63"/>
      <c r="J22" s="73"/>
      <c r="K22" s="327" t="str">
        <f>IF(Proposta!J23="","",Proposta!J23)</f>
        <v/>
      </c>
      <c r="L22" s="274"/>
      <c r="M22" s="326" t="str">
        <f>IF(Proposta!L23="","",Proposta!L23)</f>
        <v/>
      </c>
      <c r="N22" s="274"/>
      <c r="O22" s="76" t="str">
        <f>IF(Proposta!N23="","",Proposta!N23)</f>
        <v/>
      </c>
      <c r="P22" s="76" t="str">
        <f>IF(Proposta!O23="","",Proposta!O23)</f>
        <v/>
      </c>
      <c r="Q22" s="77" t="str">
        <f>IF(Proposta!P23="","",Proposta!P23)</f>
        <v/>
      </c>
      <c r="R22" s="332" t="str">
        <f>IF(Proposta!Q23="","",V22)</f>
        <v/>
      </c>
      <c r="S22" s="274"/>
      <c r="T22" s="76" t="str">
        <f>IF(Proposta!S23="","",Proposta!S23)</f>
        <v/>
      </c>
      <c r="U22" s="15"/>
      <c r="V22" s="15" t="e">
        <f>VLOOKUP(Proposta!Q23,Tabela!$B$6:$C$8,2,0)</f>
        <v>#N/A</v>
      </c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19.5" customHeight="1" x14ac:dyDescent="0.2">
      <c r="A23" s="15"/>
      <c r="B23" s="30"/>
      <c r="C23" s="24"/>
      <c r="D23" s="24"/>
      <c r="E23" s="52">
        <f>Proposta!G24</f>
        <v>0</v>
      </c>
      <c r="F23" s="24"/>
      <c r="G23" s="31"/>
      <c r="H23" s="15"/>
      <c r="I23" s="63"/>
      <c r="J23" s="73"/>
      <c r="K23" s="327" t="str">
        <f>IF(Proposta!J24="","",Proposta!J24)</f>
        <v/>
      </c>
      <c r="L23" s="274"/>
      <c r="M23" s="326" t="str">
        <f>IF(Proposta!L24="","",Proposta!L24)</f>
        <v/>
      </c>
      <c r="N23" s="274"/>
      <c r="O23" s="76" t="str">
        <f>IF(Proposta!N24="","",Proposta!N24)</f>
        <v/>
      </c>
      <c r="P23" s="76" t="str">
        <f>IF(Proposta!O24="","",Proposta!O24)</f>
        <v/>
      </c>
      <c r="Q23" s="77" t="str">
        <f>IF(Proposta!P24="","",Proposta!P24)</f>
        <v/>
      </c>
      <c r="R23" s="332" t="str">
        <f>IF(Proposta!Q24="","",V23)</f>
        <v/>
      </c>
      <c r="S23" s="274"/>
      <c r="T23" s="76" t="str">
        <f>IF(Proposta!S24="","",Proposta!S24)</f>
        <v/>
      </c>
      <c r="U23" s="15"/>
      <c r="V23" s="15" t="e">
        <f>VLOOKUP(Proposta!Q24,Tabela!$B$6:$C$8,2,0)</f>
        <v>#N/A</v>
      </c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ht="19.5" customHeight="1" x14ac:dyDescent="0.2">
      <c r="A24" s="15"/>
      <c r="B24" s="30"/>
      <c r="C24" s="24"/>
      <c r="D24" s="24"/>
      <c r="E24" s="52">
        <f>Proposta!G25</f>
        <v>0</v>
      </c>
      <c r="F24" s="24"/>
      <c r="G24" s="31"/>
      <c r="H24" s="15"/>
      <c r="I24" s="63"/>
      <c r="J24" s="73"/>
      <c r="K24" s="327" t="str">
        <f>IF(Proposta!J25="","",Proposta!J25)</f>
        <v/>
      </c>
      <c r="L24" s="274"/>
      <c r="M24" s="326" t="str">
        <f>IF(Proposta!L25="","",Proposta!L25)</f>
        <v/>
      </c>
      <c r="N24" s="274"/>
      <c r="O24" s="76" t="str">
        <f>IF(Proposta!N25="","",Proposta!N25)</f>
        <v/>
      </c>
      <c r="P24" s="76" t="str">
        <f>IF(Proposta!O25="","",Proposta!O25)</f>
        <v/>
      </c>
      <c r="Q24" s="77" t="str">
        <f>IF(Proposta!P25="","",Proposta!P25)</f>
        <v/>
      </c>
      <c r="R24" s="332" t="str">
        <f>IF(Proposta!Q25="","",V24)</f>
        <v/>
      </c>
      <c r="S24" s="274"/>
      <c r="T24" s="76" t="str">
        <f>IF(Proposta!S25="","",Proposta!S25)</f>
        <v/>
      </c>
      <c r="U24" s="15"/>
      <c r="V24" s="15" t="e">
        <f>VLOOKUP(Proposta!Q25,Tabela!$B$6:$C$8,2,0)</f>
        <v>#N/A</v>
      </c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ht="19.5" customHeight="1" x14ac:dyDescent="0.2">
      <c r="A25" s="15"/>
      <c r="B25" s="30"/>
      <c r="C25" s="24"/>
      <c r="D25" s="24"/>
      <c r="E25" s="52">
        <f>Proposta!G26</f>
        <v>0</v>
      </c>
      <c r="F25" s="24"/>
      <c r="G25" s="31"/>
      <c r="H25" s="15"/>
      <c r="I25" s="63"/>
      <c r="J25" s="73"/>
      <c r="K25" s="327" t="str">
        <f>IF(Proposta!J26="","",Proposta!J26)</f>
        <v/>
      </c>
      <c r="L25" s="274"/>
      <c r="M25" s="326" t="str">
        <f>IF(Proposta!L26="","",Proposta!L26)</f>
        <v/>
      </c>
      <c r="N25" s="274"/>
      <c r="O25" s="76" t="str">
        <f>IF(Proposta!N26="","",Proposta!N26)</f>
        <v/>
      </c>
      <c r="P25" s="76" t="str">
        <f>IF(Proposta!O26="","",Proposta!O26)</f>
        <v/>
      </c>
      <c r="Q25" s="77" t="str">
        <f>IF(Proposta!P26="","",Proposta!P26)</f>
        <v/>
      </c>
      <c r="R25" s="332" t="str">
        <f>IF(Proposta!Q26="","",V25)</f>
        <v/>
      </c>
      <c r="S25" s="274"/>
      <c r="T25" s="76" t="str">
        <f>IF(Proposta!S26="","",Proposta!S26)</f>
        <v/>
      </c>
      <c r="U25" s="15"/>
      <c r="V25" s="15" t="e">
        <f>VLOOKUP(Proposta!Q26,Tabela!$B$6:$C$8,2,0)</f>
        <v>#N/A</v>
      </c>
      <c r="W25" s="15"/>
      <c r="X25" s="15"/>
      <c r="Y25" s="15"/>
      <c r="Z25" s="15"/>
      <c r="AA25" s="15"/>
      <c r="AB25" s="15"/>
      <c r="AC25" s="15"/>
      <c r="AD25" s="15"/>
      <c r="AE25" s="15"/>
      <c r="AF25" s="15"/>
    </row>
    <row r="26" spans="1:32" ht="19.5" customHeight="1" x14ac:dyDescent="0.2">
      <c r="A26" s="15"/>
      <c r="B26" s="30"/>
      <c r="C26" s="24"/>
      <c r="D26" s="24"/>
      <c r="E26" s="52">
        <f>Proposta!G27</f>
        <v>0</v>
      </c>
      <c r="F26" s="24"/>
      <c r="G26" s="31"/>
      <c r="H26" s="15"/>
      <c r="I26" s="63"/>
      <c r="J26" s="73"/>
      <c r="K26" s="327" t="str">
        <f>IF(Proposta!J27="","",Proposta!J27)</f>
        <v/>
      </c>
      <c r="L26" s="274"/>
      <c r="M26" s="326" t="str">
        <f>IF(Proposta!L27="","",Proposta!L27)</f>
        <v/>
      </c>
      <c r="N26" s="274"/>
      <c r="O26" s="76" t="str">
        <f>IF(Proposta!N27="","",Proposta!N27)</f>
        <v/>
      </c>
      <c r="P26" s="76" t="str">
        <f>IF(Proposta!O27="","",Proposta!O27)</f>
        <v/>
      </c>
      <c r="Q26" s="77" t="str">
        <f>IF(Proposta!P27="","",Proposta!P27)</f>
        <v/>
      </c>
      <c r="R26" s="332" t="str">
        <f>IF(Proposta!Q27="","",V26)</f>
        <v/>
      </c>
      <c r="S26" s="274"/>
      <c r="T26" s="76" t="str">
        <f>IF(Proposta!S27="","",Proposta!S27)</f>
        <v/>
      </c>
      <c r="U26" s="15"/>
      <c r="V26" s="15" t="e">
        <f>VLOOKUP(Proposta!Q27,Tabela!$B$6:$C$8,2,0)</f>
        <v>#N/A</v>
      </c>
      <c r="W26" s="15"/>
      <c r="X26" s="15"/>
      <c r="Y26" s="15"/>
      <c r="Z26" s="15"/>
      <c r="AA26" s="15"/>
      <c r="AB26" s="15"/>
      <c r="AC26" s="15"/>
      <c r="AD26" s="15"/>
      <c r="AE26" s="15"/>
      <c r="AF26" s="15"/>
    </row>
    <row r="27" spans="1:32" ht="19.5" customHeight="1" x14ac:dyDescent="0.2">
      <c r="A27" s="15"/>
      <c r="B27" s="30"/>
      <c r="C27" s="24"/>
      <c r="D27" s="24"/>
      <c r="E27" s="52">
        <f>Proposta!G28</f>
        <v>0</v>
      </c>
      <c r="F27" s="24"/>
      <c r="G27" s="31"/>
      <c r="H27" s="15"/>
      <c r="I27" s="63"/>
      <c r="J27" s="73"/>
      <c r="K27" s="327" t="str">
        <f>IF(Proposta!J28="","",Proposta!J28)</f>
        <v/>
      </c>
      <c r="L27" s="274"/>
      <c r="M27" s="326" t="str">
        <f>IF(Proposta!L28="","",Proposta!L28)</f>
        <v/>
      </c>
      <c r="N27" s="274"/>
      <c r="O27" s="76" t="str">
        <f>IF(Proposta!N28="","",Proposta!N28)</f>
        <v/>
      </c>
      <c r="P27" s="76" t="str">
        <f>IF(Proposta!O28="","",Proposta!O28)</f>
        <v/>
      </c>
      <c r="Q27" s="77" t="str">
        <f>IF(Proposta!P28="","",Proposta!P28)</f>
        <v/>
      </c>
      <c r="R27" s="332" t="str">
        <f>IF(Proposta!Q28="","",V27)</f>
        <v/>
      </c>
      <c r="S27" s="274"/>
      <c r="T27" s="76" t="str">
        <f>IF(Proposta!S28="","",Proposta!S28)</f>
        <v/>
      </c>
      <c r="U27" s="15"/>
      <c r="V27" s="15" t="e">
        <f>VLOOKUP(Proposta!Q28,Tabela!$B$6:$C$8,2,0)</f>
        <v>#N/A</v>
      </c>
      <c r="W27" s="15"/>
      <c r="X27" s="15"/>
      <c r="Y27" s="15"/>
      <c r="Z27" s="15"/>
      <c r="AA27" s="15"/>
      <c r="AB27" s="15"/>
      <c r="AC27" s="15"/>
      <c r="AD27" s="15"/>
      <c r="AE27" s="15"/>
      <c r="AF27" s="15"/>
    </row>
    <row r="28" spans="1:32" ht="19.5" customHeight="1" x14ac:dyDescent="0.2">
      <c r="A28" s="15"/>
      <c r="B28" s="30"/>
      <c r="C28" s="24"/>
      <c r="D28" s="24"/>
      <c r="E28" s="52">
        <f>Proposta!G29</f>
        <v>0</v>
      </c>
      <c r="F28" s="24"/>
      <c r="G28" s="31"/>
      <c r="H28" s="15"/>
      <c r="I28" s="63"/>
      <c r="J28" s="73"/>
      <c r="K28" s="327" t="str">
        <f>IF(Proposta!J29="","",Proposta!J29)</f>
        <v/>
      </c>
      <c r="L28" s="274"/>
      <c r="M28" s="326" t="str">
        <f>IF(Proposta!L29="","",Proposta!L29)</f>
        <v/>
      </c>
      <c r="N28" s="274"/>
      <c r="O28" s="76" t="str">
        <f>IF(Proposta!N29="","",Proposta!N29)</f>
        <v/>
      </c>
      <c r="P28" s="76" t="str">
        <f>IF(Proposta!O29="","",Proposta!O29)</f>
        <v/>
      </c>
      <c r="Q28" s="77" t="str">
        <f>IF(Proposta!P29="","",Proposta!P29)</f>
        <v/>
      </c>
      <c r="R28" s="332" t="str">
        <f>IF(Proposta!Q29="","",V28)</f>
        <v/>
      </c>
      <c r="S28" s="274"/>
      <c r="T28" s="76" t="str">
        <f>IF(Proposta!S29="","",Proposta!S29)</f>
        <v/>
      </c>
      <c r="U28" s="15"/>
      <c r="V28" s="15" t="e">
        <f>VLOOKUP(Proposta!Q29,Tabela!$B$6:$C$8,2,0)</f>
        <v>#N/A</v>
      </c>
      <c r="W28" s="15"/>
      <c r="X28" s="15"/>
      <c r="Y28" s="15"/>
      <c r="Z28" s="15"/>
      <c r="AA28" s="15"/>
      <c r="AB28" s="15"/>
      <c r="AC28" s="15"/>
      <c r="AD28" s="15"/>
      <c r="AE28" s="15"/>
      <c r="AF28" s="15"/>
    </row>
    <row r="29" spans="1:32" ht="19.5" customHeight="1" x14ac:dyDescent="0.2">
      <c r="A29" s="15"/>
      <c r="B29" s="30"/>
      <c r="C29" s="24"/>
      <c r="D29" s="24"/>
      <c r="E29" s="52">
        <f>Proposta!G30</f>
        <v>0</v>
      </c>
      <c r="F29" s="24"/>
      <c r="G29" s="31"/>
      <c r="H29" s="15"/>
      <c r="I29" s="63"/>
      <c r="J29" s="73"/>
      <c r="K29" s="327" t="str">
        <f>IF(Proposta!J30="","",Proposta!J30)</f>
        <v/>
      </c>
      <c r="L29" s="274"/>
      <c r="M29" s="326" t="str">
        <f>IF(Proposta!L30="","",Proposta!L30)</f>
        <v/>
      </c>
      <c r="N29" s="274"/>
      <c r="O29" s="76" t="str">
        <f>IF(Proposta!N30="","",Proposta!N30)</f>
        <v/>
      </c>
      <c r="P29" s="76" t="str">
        <f>IF(Proposta!O30="","",Proposta!O30)</f>
        <v/>
      </c>
      <c r="Q29" s="77" t="str">
        <f>IF(Proposta!P30="","",Proposta!P30)</f>
        <v/>
      </c>
      <c r="R29" s="332" t="str">
        <f>IF(Proposta!Q30="","",V29)</f>
        <v/>
      </c>
      <c r="S29" s="274"/>
      <c r="T29" s="76" t="str">
        <f>IF(Proposta!S30="","",Proposta!S30)</f>
        <v/>
      </c>
      <c r="U29" s="15"/>
      <c r="V29" s="15" t="e">
        <f>VLOOKUP(Proposta!Q30,Tabela!$B$6:$C$8,2,0)</f>
        <v>#N/A</v>
      </c>
      <c r="W29" s="15"/>
      <c r="X29" s="15"/>
      <c r="Y29" s="15"/>
      <c r="Z29" s="15"/>
      <c r="AA29" s="15"/>
      <c r="AB29" s="15"/>
      <c r="AC29" s="15"/>
      <c r="AD29" s="15"/>
      <c r="AE29" s="15"/>
      <c r="AF29" s="15"/>
    </row>
    <row r="30" spans="1:32" ht="19.5" customHeight="1" x14ac:dyDescent="0.2">
      <c r="A30" s="15"/>
      <c r="B30" s="30"/>
      <c r="C30" s="24"/>
      <c r="D30" s="24"/>
      <c r="E30" s="52">
        <f>Proposta!G31</f>
        <v>0</v>
      </c>
      <c r="F30" s="24"/>
      <c r="G30" s="31"/>
      <c r="H30" s="15"/>
      <c r="I30" s="63"/>
      <c r="J30" s="73"/>
      <c r="K30" s="327" t="str">
        <f>IF(Proposta!J31="","",Proposta!J31)</f>
        <v/>
      </c>
      <c r="L30" s="274"/>
      <c r="M30" s="326" t="str">
        <f>IF(Proposta!L31="","",Proposta!L31)</f>
        <v/>
      </c>
      <c r="N30" s="274"/>
      <c r="O30" s="76" t="str">
        <f>IF(Proposta!N31="","",Proposta!N31)</f>
        <v/>
      </c>
      <c r="P30" s="76" t="str">
        <f>IF(Proposta!O31="","",Proposta!O31)</f>
        <v/>
      </c>
      <c r="Q30" s="77" t="str">
        <f>IF(Proposta!P31="","",Proposta!P31)</f>
        <v/>
      </c>
      <c r="R30" s="332" t="str">
        <f>IF(Proposta!Q31="","",V30)</f>
        <v/>
      </c>
      <c r="S30" s="274"/>
      <c r="T30" s="76" t="str">
        <f>IF(Proposta!S31="","",Proposta!S31)</f>
        <v/>
      </c>
      <c r="U30" s="15"/>
      <c r="V30" s="15" t="e">
        <f>VLOOKUP(Proposta!Q31,Tabela!$B$6:$C$8,2,0)</f>
        <v>#N/A</v>
      </c>
      <c r="W30" s="15"/>
      <c r="X30" s="15"/>
      <c r="Y30" s="15"/>
      <c r="Z30" s="15"/>
      <c r="AA30" s="15"/>
      <c r="AB30" s="15"/>
      <c r="AC30" s="15"/>
      <c r="AD30" s="15"/>
      <c r="AE30" s="15"/>
      <c r="AF30" s="15"/>
    </row>
    <row r="31" spans="1:32" ht="19.5" customHeight="1" x14ac:dyDescent="0.2">
      <c r="A31" s="15"/>
      <c r="B31" s="30"/>
      <c r="C31" s="24"/>
      <c r="D31" s="24"/>
      <c r="E31" s="52">
        <f>Proposta!G32</f>
        <v>0</v>
      </c>
      <c r="F31" s="24"/>
      <c r="G31" s="31"/>
      <c r="H31" s="15"/>
      <c r="I31" s="63"/>
      <c r="J31" s="73"/>
      <c r="K31" s="327" t="str">
        <f>IF(Proposta!J32="","",Proposta!J32)</f>
        <v/>
      </c>
      <c r="L31" s="274"/>
      <c r="M31" s="326" t="str">
        <f>IF(Proposta!L32="","",Proposta!L32)</f>
        <v/>
      </c>
      <c r="N31" s="274"/>
      <c r="O31" s="76" t="str">
        <f>IF(Proposta!N32="","",Proposta!N32)</f>
        <v/>
      </c>
      <c r="P31" s="76" t="str">
        <f>IF(Proposta!O32="","",Proposta!O32)</f>
        <v/>
      </c>
      <c r="Q31" s="77" t="str">
        <f>IF(Proposta!P32="","",Proposta!P32)</f>
        <v/>
      </c>
      <c r="R31" s="332" t="str">
        <f>IF(Proposta!Q32="","",V31)</f>
        <v/>
      </c>
      <c r="S31" s="274"/>
      <c r="T31" s="76" t="str">
        <f>IF(Proposta!S32="","",Proposta!S32)</f>
        <v/>
      </c>
      <c r="U31" s="15"/>
      <c r="V31" s="15" t="e">
        <f>VLOOKUP(Proposta!Q32,Tabela!$B$6:$C$8,2,0)</f>
        <v>#N/A</v>
      </c>
      <c r="W31" s="15"/>
      <c r="X31" s="15"/>
      <c r="Y31" s="15"/>
      <c r="Z31" s="15"/>
      <c r="AA31" s="15"/>
      <c r="AB31" s="15"/>
      <c r="AC31" s="15"/>
      <c r="AD31" s="15"/>
      <c r="AE31" s="15"/>
      <c r="AF31" s="15"/>
    </row>
    <row r="32" spans="1:32" ht="19.5" customHeight="1" x14ac:dyDescent="0.2">
      <c r="A32" s="15"/>
      <c r="B32" s="30"/>
      <c r="C32" s="24"/>
      <c r="D32" s="24"/>
      <c r="E32" s="52">
        <f>Proposta!G33</f>
        <v>0</v>
      </c>
      <c r="F32" s="24"/>
      <c r="G32" s="31"/>
      <c r="H32" s="15"/>
      <c r="I32" s="63"/>
      <c r="J32" s="73"/>
      <c r="K32" s="327" t="str">
        <f>IF(Proposta!J33="","",Proposta!J33)</f>
        <v/>
      </c>
      <c r="L32" s="274"/>
      <c r="M32" s="326" t="str">
        <f>IF(Proposta!L33="","",Proposta!L33)</f>
        <v/>
      </c>
      <c r="N32" s="274"/>
      <c r="O32" s="76" t="str">
        <f>IF(Proposta!N33="","",Proposta!N33)</f>
        <v/>
      </c>
      <c r="P32" s="76" t="str">
        <f>IF(Proposta!O33="","",Proposta!O33)</f>
        <v/>
      </c>
      <c r="Q32" s="77" t="str">
        <f>IF(Proposta!P33="","",Proposta!P33)</f>
        <v/>
      </c>
      <c r="R32" s="332" t="str">
        <f>IF(Proposta!Q33="","",V32)</f>
        <v/>
      </c>
      <c r="S32" s="274"/>
      <c r="T32" s="76" t="str">
        <f>IF(Proposta!S33="","",Proposta!S33)</f>
        <v/>
      </c>
      <c r="U32" s="15"/>
      <c r="V32" s="15" t="e">
        <f>VLOOKUP(Proposta!Q33,Tabela!$B$6:$C$8,2,0)</f>
        <v>#N/A</v>
      </c>
      <c r="W32" s="15"/>
      <c r="X32" s="15"/>
      <c r="Y32" s="15"/>
      <c r="Z32" s="15"/>
      <c r="AA32" s="15"/>
      <c r="AB32" s="15"/>
      <c r="AC32" s="15"/>
      <c r="AD32" s="15"/>
      <c r="AE32" s="15"/>
      <c r="AF32" s="15"/>
    </row>
    <row r="33" spans="1:32" ht="9.75" customHeight="1" x14ac:dyDescent="0.2">
      <c r="A33" s="15"/>
      <c r="B33" s="15"/>
      <c r="C33" s="16"/>
      <c r="D33" s="16"/>
      <c r="E33" s="52">
        <v>1</v>
      </c>
      <c r="F33" s="16"/>
      <c r="G33" s="16"/>
      <c r="H33" s="15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5"/>
      <c r="T33" s="55"/>
      <c r="U33" s="15"/>
      <c r="V33" s="16"/>
      <c r="W33" s="15"/>
      <c r="X33" s="16"/>
      <c r="Y33" s="15"/>
      <c r="Z33" s="15"/>
      <c r="AA33" s="15"/>
      <c r="AB33" s="15"/>
      <c r="AC33" s="15"/>
      <c r="AD33" s="15"/>
      <c r="AE33" s="15"/>
      <c r="AF33" s="15"/>
    </row>
    <row r="34" spans="1:32" ht="19.5" customHeight="1" x14ac:dyDescent="0.2">
      <c r="A34" s="15"/>
      <c r="B34" s="15"/>
      <c r="C34" s="15"/>
      <c r="D34" s="15"/>
      <c r="E34" s="52">
        <v>0</v>
      </c>
      <c r="F34" s="15"/>
      <c r="G34" s="15"/>
      <c r="H34" s="15"/>
      <c r="I34" s="331" t="s">
        <v>39</v>
      </c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90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</row>
    <row r="35" spans="1:32" ht="9.75" customHeight="1" x14ac:dyDescent="0.2">
      <c r="A35" s="15"/>
      <c r="B35" s="15"/>
      <c r="C35" s="15"/>
      <c r="D35" s="15"/>
      <c r="E35" s="52">
        <v>0</v>
      </c>
      <c r="F35" s="15"/>
      <c r="G35" s="15"/>
      <c r="H35" s="15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5"/>
      <c r="T35" s="5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</row>
    <row r="36" spans="1:32" ht="19.5" customHeight="1" x14ac:dyDescent="0.2">
      <c r="A36" s="15"/>
      <c r="B36" s="15"/>
      <c r="C36" s="15"/>
      <c r="D36" s="15"/>
      <c r="E36" s="52">
        <v>0</v>
      </c>
      <c r="F36" s="15"/>
      <c r="G36" s="15"/>
      <c r="H36" s="15"/>
      <c r="I36" s="57"/>
      <c r="J36" s="62"/>
      <c r="K36" s="82" t="s">
        <v>64</v>
      </c>
      <c r="L36" s="328" t="str">
        <f>IF(Proposta!I38="","",Proposta!I38)</f>
        <v/>
      </c>
      <c r="M36" s="274"/>
      <c r="N36" s="57"/>
      <c r="O36" s="57"/>
      <c r="P36" s="57"/>
      <c r="Q36" s="57"/>
      <c r="R36" s="57"/>
      <c r="S36" s="55"/>
      <c r="T36" s="5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</row>
    <row r="37" spans="1:32" ht="9.75" customHeight="1" x14ac:dyDescent="0.2">
      <c r="A37" s="15"/>
      <c r="B37" s="15"/>
      <c r="C37" s="15"/>
      <c r="D37" s="15"/>
      <c r="E37" s="52">
        <v>0</v>
      </c>
      <c r="F37" s="15"/>
      <c r="G37" s="15"/>
      <c r="H37" s="15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5"/>
      <c r="T37" s="5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</row>
    <row r="38" spans="1:32" ht="19.5" customHeight="1" x14ac:dyDescent="0.2">
      <c r="A38" s="15"/>
      <c r="B38" s="15"/>
      <c r="C38" s="15"/>
      <c r="D38" s="15"/>
      <c r="E38" s="52">
        <v>1</v>
      </c>
      <c r="F38" s="15"/>
      <c r="G38" s="15"/>
      <c r="H38" s="15"/>
      <c r="I38" s="331" t="s">
        <v>43</v>
      </c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90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</row>
    <row r="39" spans="1:32" ht="9.75" customHeight="1" x14ac:dyDescent="0.2">
      <c r="A39" s="15"/>
      <c r="B39" s="15"/>
      <c r="C39" s="16"/>
      <c r="D39" s="16"/>
      <c r="E39" s="52">
        <v>1</v>
      </c>
      <c r="F39" s="16"/>
      <c r="G39" s="16"/>
      <c r="H39" s="15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5"/>
      <c r="T39" s="55"/>
      <c r="U39" s="15"/>
      <c r="V39" s="16"/>
      <c r="W39" s="15"/>
      <c r="X39" s="16"/>
      <c r="Y39" s="15"/>
      <c r="Z39" s="15"/>
      <c r="AA39" s="15"/>
      <c r="AB39" s="15"/>
      <c r="AC39" s="15"/>
      <c r="AD39" s="15"/>
      <c r="AE39" s="15"/>
      <c r="AF39" s="15"/>
    </row>
    <row r="40" spans="1:32" ht="19.5" customHeight="1" x14ac:dyDescent="0.2">
      <c r="A40" s="15"/>
      <c r="B40" s="15"/>
      <c r="C40" s="15"/>
      <c r="D40" s="15"/>
      <c r="E40" s="52">
        <v>1</v>
      </c>
      <c r="F40" s="15"/>
      <c r="G40" s="15"/>
      <c r="H40" s="15"/>
      <c r="I40" s="57"/>
      <c r="J40" s="336" t="s">
        <v>45</v>
      </c>
      <c r="K40" s="335" t="s">
        <v>46</v>
      </c>
      <c r="L40" s="269"/>
      <c r="M40" s="329" t="s">
        <v>47</v>
      </c>
      <c r="N40" s="286"/>
      <c r="O40" s="286"/>
      <c r="P40" s="286"/>
      <c r="Q40" s="282"/>
      <c r="R40" s="334"/>
      <c r="S40" s="276"/>
      <c r="T40" s="5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</row>
    <row r="41" spans="1:32" ht="19.5" customHeight="1" x14ac:dyDescent="0.2">
      <c r="A41" s="15"/>
      <c r="B41" s="15"/>
      <c r="C41" s="15"/>
      <c r="D41" s="15"/>
      <c r="E41" s="52">
        <v>1</v>
      </c>
      <c r="F41" s="15"/>
      <c r="G41" s="15"/>
      <c r="H41" s="15"/>
      <c r="I41" s="83"/>
      <c r="J41" s="292"/>
      <c r="K41" s="270"/>
      <c r="L41" s="272"/>
      <c r="M41" s="65" t="s">
        <v>49</v>
      </c>
      <c r="N41" s="329" t="s">
        <v>50</v>
      </c>
      <c r="O41" s="282"/>
      <c r="P41" s="329" t="s">
        <v>51</v>
      </c>
      <c r="Q41" s="282"/>
      <c r="R41" s="277"/>
      <c r="S41" s="278"/>
      <c r="T41" s="5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</row>
    <row r="42" spans="1:32" ht="15.75" x14ac:dyDescent="0.2">
      <c r="A42" s="15"/>
      <c r="B42" s="15"/>
      <c r="C42" s="15"/>
      <c r="D42" s="15"/>
      <c r="E42" s="52">
        <f t="shared" ref="E42:E61" si="0">IF(OR(K42&lt;&gt;"",R42&lt;&gt;""),1,0)</f>
        <v>1</v>
      </c>
      <c r="F42" s="15"/>
      <c r="G42" s="15"/>
      <c r="H42" s="15"/>
      <c r="I42" s="63"/>
      <c r="J42" s="84">
        <v>1</v>
      </c>
      <c r="K42" s="326">
        <f>IF(Proposta!J47="","",Proposta!J47)</f>
        <v>30000</v>
      </c>
      <c r="L42" s="274"/>
      <c r="M42" s="77">
        <f>IF(Proposta!L47="","",Proposta!L47)</f>
        <v>60</v>
      </c>
      <c r="N42" s="326" t="str">
        <f>IF(Proposta!M47="","",Proposta!M47)</f>
        <v/>
      </c>
      <c r="O42" s="274"/>
      <c r="P42" s="326">
        <f>IF(Proposta!O47="","",Proposta!O47)</f>
        <v>18000</v>
      </c>
      <c r="Q42" s="274"/>
      <c r="R42" s="326"/>
      <c r="S42" s="274"/>
      <c r="T42" s="5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</row>
    <row r="43" spans="1:32" ht="15.75" x14ac:dyDescent="0.2">
      <c r="A43" s="15"/>
      <c r="B43" s="15"/>
      <c r="C43" s="15"/>
      <c r="D43" s="15"/>
      <c r="E43" s="52">
        <f t="shared" si="0"/>
        <v>1</v>
      </c>
      <c r="F43" s="15"/>
      <c r="G43" s="15"/>
      <c r="H43" s="15"/>
      <c r="I43" s="57"/>
      <c r="J43" s="84">
        <v>2</v>
      </c>
      <c r="K43" s="326">
        <f>IF(Proposta!J48="","",Proposta!J48)</f>
        <v>30000</v>
      </c>
      <c r="L43" s="274"/>
      <c r="M43" s="77">
        <f>IF(Proposta!L48="","",Proposta!L48)</f>
        <v>60</v>
      </c>
      <c r="N43" s="326" t="str">
        <f>IF(Proposta!M48="","",Proposta!M48)</f>
        <v/>
      </c>
      <c r="O43" s="274"/>
      <c r="P43" s="326">
        <f>IF(Proposta!O48="","",Proposta!O48)</f>
        <v>18000</v>
      </c>
      <c r="Q43" s="274"/>
      <c r="R43" s="326"/>
      <c r="S43" s="274"/>
      <c r="T43" s="5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</row>
    <row r="44" spans="1:32" ht="15.75" x14ac:dyDescent="0.2">
      <c r="A44" s="15"/>
      <c r="B44" s="15"/>
      <c r="C44" s="15"/>
      <c r="D44" s="15"/>
      <c r="E44" s="52">
        <f t="shared" si="0"/>
        <v>1</v>
      </c>
      <c r="F44" s="15"/>
      <c r="G44" s="15"/>
      <c r="H44" s="15"/>
      <c r="I44" s="57"/>
      <c r="J44" s="84">
        <v>3</v>
      </c>
      <c r="K44" s="326">
        <f>IF(Proposta!J49="","",Proposta!J49)</f>
        <v>30000</v>
      </c>
      <c r="L44" s="274"/>
      <c r="M44" s="77">
        <f>IF(Proposta!L49="","",Proposta!L49)</f>
        <v>60</v>
      </c>
      <c r="N44" s="326" t="str">
        <f>IF(Proposta!M49="","",Proposta!M49)</f>
        <v/>
      </c>
      <c r="O44" s="274"/>
      <c r="P44" s="326">
        <f>IF(Proposta!O49="","",Proposta!O49)</f>
        <v>18000</v>
      </c>
      <c r="Q44" s="274"/>
      <c r="R44" s="326"/>
      <c r="S44" s="274"/>
      <c r="T44" s="5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</row>
    <row r="45" spans="1:32" ht="15.75" x14ac:dyDescent="0.2">
      <c r="A45" s="15"/>
      <c r="B45" s="15"/>
      <c r="C45" s="15"/>
      <c r="D45" s="15"/>
      <c r="E45" s="52">
        <f t="shared" si="0"/>
        <v>1</v>
      </c>
      <c r="F45" s="15"/>
      <c r="G45" s="15"/>
      <c r="H45" s="15"/>
      <c r="I45" s="57"/>
      <c r="J45" s="84">
        <v>4</v>
      </c>
      <c r="K45" s="326">
        <f>IF(Proposta!J50="","",Proposta!J50)</f>
        <v>30000</v>
      </c>
      <c r="L45" s="274"/>
      <c r="M45" s="77">
        <f>IF(Proposta!L50="","",Proposta!L50)</f>
        <v>60</v>
      </c>
      <c r="N45" s="326" t="str">
        <f>IF(Proposta!M50="","",Proposta!M50)</f>
        <v/>
      </c>
      <c r="O45" s="274"/>
      <c r="P45" s="326">
        <f>IF(Proposta!O50="","",Proposta!O50)</f>
        <v>18000</v>
      </c>
      <c r="Q45" s="274"/>
      <c r="R45" s="326"/>
      <c r="S45" s="274"/>
      <c r="T45" s="5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</row>
    <row r="46" spans="1:32" ht="15.75" x14ac:dyDescent="0.2">
      <c r="A46" s="15"/>
      <c r="B46" s="15"/>
      <c r="C46" s="15"/>
      <c r="D46" s="15"/>
      <c r="E46" s="52">
        <f t="shared" si="0"/>
        <v>1</v>
      </c>
      <c r="F46" s="15"/>
      <c r="G46" s="15"/>
      <c r="H46" s="15"/>
      <c r="I46" s="57"/>
      <c r="J46" s="84">
        <v>5</v>
      </c>
      <c r="K46" s="326">
        <f>IF(Proposta!J51="","",Proposta!J51)</f>
        <v>30000</v>
      </c>
      <c r="L46" s="274"/>
      <c r="M46" s="77">
        <f>IF(Proposta!L51="","",Proposta!L51)</f>
        <v>60</v>
      </c>
      <c r="N46" s="326" t="str">
        <f>IF(Proposta!M51="","",Proposta!M51)</f>
        <v/>
      </c>
      <c r="O46" s="274"/>
      <c r="P46" s="326">
        <f>IF(Proposta!O51="","",Proposta!O51)</f>
        <v>18000</v>
      </c>
      <c r="Q46" s="274"/>
      <c r="R46" s="326"/>
      <c r="S46" s="274"/>
      <c r="T46" s="5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</row>
    <row r="47" spans="1:32" ht="15.75" x14ac:dyDescent="0.2">
      <c r="A47" s="15"/>
      <c r="B47" s="15"/>
      <c r="C47" s="15"/>
      <c r="D47" s="15"/>
      <c r="E47" s="52">
        <f t="shared" si="0"/>
        <v>1</v>
      </c>
      <c r="F47" s="15"/>
      <c r="G47" s="15"/>
      <c r="H47" s="15"/>
      <c r="I47" s="57"/>
      <c r="J47" s="84">
        <v>6</v>
      </c>
      <c r="K47" s="326">
        <f>IF(Proposta!J52="","",Proposta!J52)</f>
        <v>30000</v>
      </c>
      <c r="L47" s="274"/>
      <c r="M47" s="77">
        <f>IF(Proposta!L52="","",Proposta!L52)</f>
        <v>60</v>
      </c>
      <c r="N47" s="326" t="str">
        <f>IF(Proposta!M52="","",Proposta!M52)</f>
        <v/>
      </c>
      <c r="O47" s="274"/>
      <c r="P47" s="326">
        <f>IF(Proposta!O52="","",Proposta!O52)</f>
        <v>18000</v>
      </c>
      <c r="Q47" s="274"/>
      <c r="R47" s="326"/>
      <c r="S47" s="274"/>
      <c r="T47" s="5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</row>
    <row r="48" spans="1:32" ht="15.75" x14ac:dyDescent="0.2">
      <c r="A48" s="15"/>
      <c r="B48" s="15"/>
      <c r="C48" s="15"/>
      <c r="D48" s="15"/>
      <c r="E48" s="52">
        <f t="shared" si="0"/>
        <v>1</v>
      </c>
      <c r="F48" s="15"/>
      <c r="G48" s="15"/>
      <c r="H48" s="15"/>
      <c r="I48" s="57"/>
      <c r="J48" s="84">
        <v>7</v>
      </c>
      <c r="K48" s="326">
        <f>IF(Proposta!J53="","",Proposta!J53)</f>
        <v>30000</v>
      </c>
      <c r="L48" s="274"/>
      <c r="M48" s="77">
        <f>IF(Proposta!L53="","",Proposta!L53)</f>
        <v>60</v>
      </c>
      <c r="N48" s="326" t="str">
        <f>IF(Proposta!M53="","",Proposta!M53)</f>
        <v/>
      </c>
      <c r="O48" s="274"/>
      <c r="P48" s="326">
        <f>IF(Proposta!O53="","",Proposta!O53)</f>
        <v>18000</v>
      </c>
      <c r="Q48" s="274"/>
      <c r="R48" s="326"/>
      <c r="S48" s="274"/>
      <c r="T48" s="5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</row>
    <row r="49" spans="1:32" ht="15.75" x14ac:dyDescent="0.2">
      <c r="A49" s="15"/>
      <c r="B49" s="15"/>
      <c r="C49" s="15"/>
      <c r="D49" s="15"/>
      <c r="E49" s="52">
        <f t="shared" si="0"/>
        <v>1</v>
      </c>
      <c r="F49" s="15"/>
      <c r="G49" s="15"/>
      <c r="H49" s="15"/>
      <c r="I49" s="57"/>
      <c r="J49" s="84">
        <v>8</v>
      </c>
      <c r="K49" s="326">
        <f>IF(Proposta!J54="","",Proposta!J54)</f>
        <v>30000</v>
      </c>
      <c r="L49" s="274"/>
      <c r="M49" s="77">
        <f>IF(Proposta!L54="","",Proposta!L54)</f>
        <v>60</v>
      </c>
      <c r="N49" s="326" t="str">
        <f>IF(Proposta!M54="","",Proposta!M54)</f>
        <v/>
      </c>
      <c r="O49" s="274"/>
      <c r="P49" s="326">
        <f>IF(Proposta!O54="","",Proposta!O54)</f>
        <v>18000</v>
      </c>
      <c r="Q49" s="274"/>
      <c r="R49" s="326"/>
      <c r="S49" s="274"/>
      <c r="T49" s="5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</row>
    <row r="50" spans="1:32" ht="15.75" x14ac:dyDescent="0.2">
      <c r="A50" s="15"/>
      <c r="B50" s="15"/>
      <c r="C50" s="15"/>
      <c r="D50" s="15"/>
      <c r="E50" s="52">
        <f t="shared" si="0"/>
        <v>1</v>
      </c>
      <c r="F50" s="15"/>
      <c r="G50" s="15"/>
      <c r="H50" s="15"/>
      <c r="I50" s="57"/>
      <c r="J50" s="84">
        <v>9</v>
      </c>
      <c r="K50" s="326">
        <f>IF(Proposta!J55="","",Proposta!J55)</f>
        <v>30000</v>
      </c>
      <c r="L50" s="274"/>
      <c r="M50" s="77">
        <f>IF(Proposta!L55="","",Proposta!L55)</f>
        <v>60</v>
      </c>
      <c r="N50" s="326" t="str">
        <f>IF(Proposta!M55="","",Proposta!M55)</f>
        <v/>
      </c>
      <c r="O50" s="274"/>
      <c r="P50" s="326">
        <f>IF(Proposta!O55="","",Proposta!O55)</f>
        <v>18000</v>
      </c>
      <c r="Q50" s="274"/>
      <c r="R50" s="326"/>
      <c r="S50" s="274"/>
      <c r="T50" s="5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</row>
    <row r="51" spans="1:32" ht="15.75" x14ac:dyDescent="0.2">
      <c r="A51" s="15"/>
      <c r="B51" s="15"/>
      <c r="C51" s="15"/>
      <c r="D51" s="15"/>
      <c r="E51" s="52">
        <f t="shared" si="0"/>
        <v>1</v>
      </c>
      <c r="F51" s="15"/>
      <c r="G51" s="15"/>
      <c r="H51" s="15"/>
      <c r="I51" s="57"/>
      <c r="J51" s="84">
        <v>10</v>
      </c>
      <c r="K51" s="326">
        <f>IF(Proposta!J56="","",Proposta!J56)</f>
        <v>30000</v>
      </c>
      <c r="L51" s="274"/>
      <c r="M51" s="77">
        <f>IF(Proposta!L56="","",Proposta!L56)</f>
        <v>60</v>
      </c>
      <c r="N51" s="326" t="str">
        <f>IF(Proposta!M56="","",Proposta!M56)</f>
        <v/>
      </c>
      <c r="O51" s="274"/>
      <c r="P51" s="326">
        <f>IF(Proposta!O56="","",Proposta!O56)</f>
        <v>18000</v>
      </c>
      <c r="Q51" s="274"/>
      <c r="R51" s="326"/>
      <c r="S51" s="274"/>
      <c r="T51" s="5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</row>
    <row r="52" spans="1:32" ht="15.75" x14ac:dyDescent="0.2">
      <c r="A52" s="15"/>
      <c r="B52" s="15"/>
      <c r="C52" s="15"/>
      <c r="D52" s="15"/>
      <c r="E52" s="52">
        <f t="shared" si="0"/>
        <v>1</v>
      </c>
      <c r="F52" s="15"/>
      <c r="G52" s="15"/>
      <c r="H52" s="15"/>
      <c r="I52" s="57"/>
      <c r="J52" s="84">
        <v>11</v>
      </c>
      <c r="K52" s="326">
        <f>IF(Proposta!J57="","",Proposta!J57)</f>
        <v>30000</v>
      </c>
      <c r="L52" s="274"/>
      <c r="M52" s="77">
        <f>IF(Proposta!L57="","",Proposta!L57)</f>
        <v>60</v>
      </c>
      <c r="N52" s="326" t="str">
        <f>IF(Proposta!M57="","",Proposta!M57)</f>
        <v/>
      </c>
      <c r="O52" s="274"/>
      <c r="P52" s="326">
        <f>IF(Proposta!O57="","",Proposta!O57)</f>
        <v>18000</v>
      </c>
      <c r="Q52" s="274"/>
      <c r="R52" s="326"/>
      <c r="S52" s="274"/>
      <c r="T52" s="5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</row>
    <row r="53" spans="1:32" ht="15.75" x14ac:dyDescent="0.2">
      <c r="A53" s="15"/>
      <c r="B53" s="15"/>
      <c r="C53" s="15"/>
      <c r="D53" s="15"/>
      <c r="E53" s="52">
        <f t="shared" si="0"/>
        <v>1</v>
      </c>
      <c r="F53" s="15"/>
      <c r="G53" s="15"/>
      <c r="H53" s="15"/>
      <c r="I53" s="57"/>
      <c r="J53" s="84">
        <v>12</v>
      </c>
      <c r="K53" s="326">
        <f>IF(Proposta!J58="","",Proposta!J58)</f>
        <v>30000</v>
      </c>
      <c r="L53" s="274"/>
      <c r="M53" s="77">
        <f>IF(Proposta!L58="","",Proposta!L58)</f>
        <v>60</v>
      </c>
      <c r="N53" s="326" t="str">
        <f>IF(Proposta!M58="","",Proposta!M58)</f>
        <v/>
      </c>
      <c r="O53" s="274"/>
      <c r="P53" s="326">
        <f>IF(Proposta!O58="","",Proposta!O58)</f>
        <v>18000</v>
      </c>
      <c r="Q53" s="274"/>
      <c r="R53" s="326"/>
      <c r="S53" s="274"/>
      <c r="T53" s="5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</row>
    <row r="54" spans="1:32" ht="15.75" x14ac:dyDescent="0.2">
      <c r="A54" s="15"/>
      <c r="B54" s="15"/>
      <c r="C54" s="15"/>
      <c r="D54" s="15"/>
      <c r="E54" s="52">
        <f t="shared" si="0"/>
        <v>1</v>
      </c>
      <c r="F54" s="15"/>
      <c r="G54" s="15"/>
      <c r="H54" s="15"/>
      <c r="I54" s="57"/>
      <c r="J54" s="84">
        <v>13</v>
      </c>
      <c r="K54" s="326">
        <f>IF(Proposta!J59="","",Proposta!J59)</f>
        <v>30000</v>
      </c>
      <c r="L54" s="274"/>
      <c r="M54" s="77">
        <f>IF(Proposta!L59="","",Proposta!L59)</f>
        <v>60</v>
      </c>
      <c r="N54" s="326" t="str">
        <f>IF(Proposta!M59="","",Proposta!M59)</f>
        <v/>
      </c>
      <c r="O54" s="274"/>
      <c r="P54" s="326">
        <f>IF(Proposta!O59="","",Proposta!O59)</f>
        <v>18000</v>
      </c>
      <c r="Q54" s="274"/>
      <c r="R54" s="326"/>
      <c r="S54" s="274"/>
      <c r="T54" s="5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</row>
    <row r="55" spans="1:32" ht="15.75" x14ac:dyDescent="0.2">
      <c r="A55" s="15"/>
      <c r="B55" s="15"/>
      <c r="C55" s="15"/>
      <c r="D55" s="15"/>
      <c r="E55" s="52">
        <f t="shared" si="0"/>
        <v>1</v>
      </c>
      <c r="F55" s="15"/>
      <c r="G55" s="15"/>
      <c r="H55" s="15"/>
      <c r="I55" s="57"/>
      <c r="J55" s="84">
        <v>14</v>
      </c>
      <c r="K55" s="326">
        <f>IF(Proposta!J60="","",Proposta!J60)</f>
        <v>30000</v>
      </c>
      <c r="L55" s="274"/>
      <c r="M55" s="77">
        <f>IF(Proposta!L60="","",Proposta!L60)</f>
        <v>60</v>
      </c>
      <c r="N55" s="326" t="str">
        <f>IF(Proposta!M60="","",Proposta!M60)</f>
        <v/>
      </c>
      <c r="O55" s="274"/>
      <c r="P55" s="326">
        <f>IF(Proposta!O60="","",Proposta!O60)</f>
        <v>18000</v>
      </c>
      <c r="Q55" s="274"/>
      <c r="R55" s="326"/>
      <c r="S55" s="274"/>
      <c r="T55" s="5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</row>
    <row r="56" spans="1:32" ht="15.75" x14ac:dyDescent="0.2">
      <c r="A56" s="15"/>
      <c r="B56" s="15"/>
      <c r="C56" s="15"/>
      <c r="D56" s="15"/>
      <c r="E56" s="52">
        <f t="shared" si="0"/>
        <v>1</v>
      </c>
      <c r="F56" s="15"/>
      <c r="G56" s="15"/>
      <c r="H56" s="15"/>
      <c r="I56" s="57"/>
      <c r="J56" s="84">
        <v>15</v>
      </c>
      <c r="K56" s="326">
        <f>IF(Proposta!J61="","",Proposta!J61)</f>
        <v>30000</v>
      </c>
      <c r="L56" s="274"/>
      <c r="M56" s="77">
        <f>IF(Proposta!L61="","",Proposta!L61)</f>
        <v>60</v>
      </c>
      <c r="N56" s="326" t="str">
        <f>IF(Proposta!M61="","",Proposta!M61)</f>
        <v/>
      </c>
      <c r="O56" s="274"/>
      <c r="P56" s="326">
        <f>IF(Proposta!O61="","",Proposta!O61)</f>
        <v>18000</v>
      </c>
      <c r="Q56" s="274"/>
      <c r="R56" s="326"/>
      <c r="S56" s="274"/>
      <c r="T56" s="5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</row>
    <row r="57" spans="1:32" ht="15.75" x14ac:dyDescent="0.2">
      <c r="A57" s="15"/>
      <c r="B57" s="15"/>
      <c r="C57" s="15"/>
      <c r="D57" s="15"/>
      <c r="E57" s="52">
        <f t="shared" si="0"/>
        <v>1</v>
      </c>
      <c r="F57" s="15"/>
      <c r="G57" s="15"/>
      <c r="H57" s="15"/>
      <c r="I57" s="57"/>
      <c r="J57" s="84">
        <v>16</v>
      </c>
      <c r="K57" s="326">
        <f>IF(Proposta!J62="","",Proposta!J62)</f>
        <v>30000</v>
      </c>
      <c r="L57" s="274"/>
      <c r="M57" s="77">
        <f>IF(Proposta!L62="","",Proposta!L62)</f>
        <v>60</v>
      </c>
      <c r="N57" s="326" t="str">
        <f>IF(Proposta!M62="","",Proposta!M62)</f>
        <v/>
      </c>
      <c r="O57" s="274"/>
      <c r="P57" s="326">
        <f>IF(Proposta!O62="","",Proposta!O62)</f>
        <v>18000</v>
      </c>
      <c r="Q57" s="274"/>
      <c r="R57" s="326"/>
      <c r="S57" s="274"/>
      <c r="T57" s="5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</row>
    <row r="58" spans="1:32" ht="15.75" x14ac:dyDescent="0.2">
      <c r="A58" s="15"/>
      <c r="B58" s="15"/>
      <c r="C58" s="15"/>
      <c r="D58" s="15"/>
      <c r="E58" s="52">
        <f t="shared" si="0"/>
        <v>1</v>
      </c>
      <c r="F58" s="15"/>
      <c r="G58" s="15"/>
      <c r="H58" s="15"/>
      <c r="I58" s="57"/>
      <c r="J58" s="84">
        <v>17</v>
      </c>
      <c r="K58" s="326">
        <f>IF(Proposta!J63="","",Proposta!J63)</f>
        <v>30000</v>
      </c>
      <c r="L58" s="274"/>
      <c r="M58" s="77">
        <f>IF(Proposta!L63="","",Proposta!L63)</f>
        <v>60</v>
      </c>
      <c r="N58" s="326" t="str">
        <f>IF(Proposta!M63="","",Proposta!M63)</f>
        <v/>
      </c>
      <c r="O58" s="274"/>
      <c r="P58" s="326">
        <f>IF(Proposta!O63="","",Proposta!O63)</f>
        <v>18000</v>
      </c>
      <c r="Q58" s="274"/>
      <c r="R58" s="326"/>
      <c r="S58" s="274"/>
      <c r="T58" s="5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</row>
    <row r="59" spans="1:32" ht="15.75" x14ac:dyDescent="0.2">
      <c r="A59" s="15"/>
      <c r="B59" s="15"/>
      <c r="C59" s="15"/>
      <c r="D59" s="15"/>
      <c r="E59" s="52">
        <f t="shared" si="0"/>
        <v>1</v>
      </c>
      <c r="F59" s="15"/>
      <c r="G59" s="15"/>
      <c r="H59" s="15"/>
      <c r="I59" s="57"/>
      <c r="J59" s="84">
        <v>18</v>
      </c>
      <c r="K59" s="326">
        <f>IF(Proposta!J64="","",Proposta!J64)</f>
        <v>30000</v>
      </c>
      <c r="L59" s="274"/>
      <c r="M59" s="77">
        <f>IF(Proposta!L64="","",Proposta!L64)</f>
        <v>60</v>
      </c>
      <c r="N59" s="326" t="str">
        <f>IF(Proposta!M64="","",Proposta!M64)</f>
        <v/>
      </c>
      <c r="O59" s="274"/>
      <c r="P59" s="326">
        <f>IF(Proposta!O64="","",Proposta!O64)</f>
        <v>18000</v>
      </c>
      <c r="Q59" s="274"/>
      <c r="R59" s="326"/>
      <c r="S59" s="274"/>
      <c r="T59" s="5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</row>
    <row r="60" spans="1:32" ht="15.75" x14ac:dyDescent="0.2">
      <c r="A60" s="15"/>
      <c r="B60" s="15"/>
      <c r="C60" s="15"/>
      <c r="D60" s="15"/>
      <c r="E60" s="52">
        <f t="shared" si="0"/>
        <v>1</v>
      </c>
      <c r="F60" s="15"/>
      <c r="G60" s="15"/>
      <c r="H60" s="15"/>
      <c r="I60" s="57"/>
      <c r="J60" s="84">
        <v>19</v>
      </c>
      <c r="K60" s="326">
        <f>IF(Proposta!J65="","",Proposta!J65)</f>
        <v>30000</v>
      </c>
      <c r="L60" s="274"/>
      <c r="M60" s="77">
        <f>IF(Proposta!L65="","",Proposta!L65)</f>
        <v>60</v>
      </c>
      <c r="N60" s="326" t="str">
        <f>IF(Proposta!M65="","",Proposta!M65)</f>
        <v/>
      </c>
      <c r="O60" s="274"/>
      <c r="P60" s="326">
        <f>IF(Proposta!O65="","",Proposta!O65)</f>
        <v>18000</v>
      </c>
      <c r="Q60" s="274"/>
      <c r="R60" s="326"/>
      <c r="S60" s="274"/>
      <c r="T60" s="5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</row>
    <row r="61" spans="1:32" ht="15.75" x14ac:dyDescent="0.2">
      <c r="A61" s="15"/>
      <c r="B61" s="15"/>
      <c r="C61" s="15"/>
      <c r="D61" s="15"/>
      <c r="E61" s="52">
        <f t="shared" si="0"/>
        <v>1</v>
      </c>
      <c r="F61" s="15"/>
      <c r="G61" s="15"/>
      <c r="H61" s="15"/>
      <c r="I61" s="57"/>
      <c r="J61" s="84">
        <v>20</v>
      </c>
      <c r="K61" s="326">
        <f>IF(Proposta!J66="","",Proposta!J66)</f>
        <v>30000</v>
      </c>
      <c r="L61" s="274"/>
      <c r="M61" s="77">
        <f>IF(Proposta!L66="","",Proposta!L66)</f>
        <v>60</v>
      </c>
      <c r="N61" s="326" t="str">
        <f>IF(Proposta!M66="","",Proposta!M66)</f>
        <v/>
      </c>
      <c r="O61" s="274"/>
      <c r="P61" s="326">
        <f>IF(Proposta!O66="","",Proposta!O66)</f>
        <v>18000</v>
      </c>
      <c r="Q61" s="274"/>
      <c r="R61" s="326"/>
      <c r="S61" s="274"/>
      <c r="T61" s="5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</row>
    <row r="62" spans="1:32" ht="9.75" customHeight="1" x14ac:dyDescent="0.2">
      <c r="A62" s="15"/>
      <c r="B62" s="15"/>
      <c r="C62" s="16"/>
      <c r="D62" s="16"/>
      <c r="E62" s="52">
        <v>1</v>
      </c>
      <c r="F62" s="16"/>
      <c r="G62" s="16"/>
      <c r="H62" s="15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5"/>
      <c r="T62" s="55"/>
      <c r="U62" s="15"/>
      <c r="V62" s="16"/>
      <c r="W62" s="15"/>
      <c r="X62" s="16"/>
      <c r="Y62" s="15"/>
      <c r="Z62" s="15"/>
      <c r="AA62" s="15"/>
      <c r="AB62" s="15"/>
      <c r="AC62" s="15"/>
      <c r="AD62" s="15"/>
      <c r="AE62" s="15"/>
      <c r="AF62" s="15"/>
    </row>
    <row r="63" spans="1:32" ht="19.5" customHeight="1" x14ac:dyDescent="0.2">
      <c r="A63" s="15"/>
      <c r="B63" s="15"/>
      <c r="C63" s="15"/>
      <c r="D63" s="15"/>
      <c r="E63" s="52">
        <f>IF(LEN(K64)&gt;0,1,0)</f>
        <v>0</v>
      </c>
      <c r="F63" s="15"/>
      <c r="G63" s="15"/>
      <c r="H63" s="15"/>
      <c r="I63" s="57"/>
      <c r="J63" s="57"/>
      <c r="K63" s="57" t="s">
        <v>65</v>
      </c>
      <c r="L63" s="57"/>
      <c r="M63" s="57"/>
      <c r="N63" s="57"/>
      <c r="O63" s="57"/>
      <c r="P63" s="57"/>
      <c r="Q63" s="57"/>
      <c r="R63" s="57"/>
      <c r="S63" s="55"/>
      <c r="T63" s="5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</row>
    <row r="64" spans="1:32" ht="19.5" customHeight="1" x14ac:dyDescent="0.2">
      <c r="A64" s="15"/>
      <c r="B64" s="15"/>
      <c r="C64" s="15"/>
      <c r="D64" s="15">
        <f>LEN(K64)</f>
        <v>0</v>
      </c>
      <c r="E64" s="52">
        <f t="shared" ref="E64:E66" si="1">E63</f>
        <v>0</v>
      </c>
      <c r="F64" s="15"/>
      <c r="G64" s="15"/>
      <c r="H64" s="15"/>
      <c r="I64" s="57"/>
      <c r="J64" s="57"/>
      <c r="K64" s="340" t="str">
        <f>IF(Proposta!I69="","",Proposta!I69)</f>
        <v/>
      </c>
      <c r="L64" s="294"/>
      <c r="M64" s="294"/>
      <c r="N64" s="294"/>
      <c r="O64" s="294"/>
      <c r="P64" s="294"/>
      <c r="Q64" s="294"/>
      <c r="R64" s="294"/>
      <c r="S64" s="294"/>
      <c r="T64" s="27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</row>
    <row r="65" spans="1:32" ht="19.5" customHeight="1" x14ac:dyDescent="0.2">
      <c r="A65" s="15"/>
      <c r="B65" s="15"/>
      <c r="C65" s="15"/>
      <c r="D65" s="15"/>
      <c r="E65" s="52">
        <f t="shared" si="1"/>
        <v>0</v>
      </c>
      <c r="F65" s="15"/>
      <c r="G65" s="15"/>
      <c r="H65" s="15"/>
      <c r="I65" s="57"/>
      <c r="J65" s="57"/>
      <c r="K65" s="341"/>
      <c r="L65" s="309"/>
      <c r="M65" s="309"/>
      <c r="N65" s="309"/>
      <c r="O65" s="309"/>
      <c r="P65" s="309"/>
      <c r="Q65" s="309"/>
      <c r="R65" s="309"/>
      <c r="S65" s="309"/>
      <c r="T65" s="3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</row>
    <row r="66" spans="1:32" ht="19.5" customHeight="1" x14ac:dyDescent="0.2">
      <c r="A66" s="15"/>
      <c r="B66" s="15"/>
      <c r="C66" s="15"/>
      <c r="D66" s="15"/>
      <c r="E66" s="52">
        <f t="shared" si="1"/>
        <v>0</v>
      </c>
      <c r="F66" s="15"/>
      <c r="G66" s="15"/>
      <c r="H66" s="15"/>
      <c r="I66" s="57"/>
      <c r="J66" s="57"/>
      <c r="K66" s="341"/>
      <c r="L66" s="309"/>
      <c r="M66" s="309"/>
      <c r="N66" s="309"/>
      <c r="O66" s="309"/>
      <c r="P66" s="309"/>
      <c r="Q66" s="309"/>
      <c r="R66" s="309"/>
      <c r="S66" s="309"/>
      <c r="T66" s="3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</row>
    <row r="67" spans="1:32" ht="19.5" customHeight="1" x14ac:dyDescent="0.2">
      <c r="A67" s="15"/>
      <c r="B67" s="15"/>
      <c r="C67" s="15"/>
      <c r="D67" s="15"/>
      <c r="E67" s="52">
        <f>IF(LEN(K64)&gt;400,1,0)</f>
        <v>0</v>
      </c>
      <c r="F67" s="15"/>
      <c r="G67" s="15"/>
      <c r="H67" s="15"/>
      <c r="I67" s="57"/>
      <c r="J67" s="57"/>
      <c r="K67" s="341"/>
      <c r="L67" s="309"/>
      <c r="M67" s="309"/>
      <c r="N67" s="309"/>
      <c r="O67" s="309"/>
      <c r="P67" s="309"/>
      <c r="Q67" s="309"/>
      <c r="R67" s="309"/>
      <c r="S67" s="309"/>
      <c r="T67" s="3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</row>
    <row r="68" spans="1:32" ht="19.5" customHeight="1" x14ac:dyDescent="0.2">
      <c r="A68" s="15"/>
      <c r="B68" s="15"/>
      <c r="C68" s="15"/>
      <c r="D68" s="15"/>
      <c r="E68" s="52">
        <f>E67</f>
        <v>0</v>
      </c>
      <c r="F68" s="15"/>
      <c r="G68" s="15"/>
      <c r="H68" s="15"/>
      <c r="I68" s="57"/>
      <c r="J68" s="57"/>
      <c r="K68" s="341"/>
      <c r="L68" s="309"/>
      <c r="M68" s="309"/>
      <c r="N68" s="309"/>
      <c r="O68" s="309"/>
      <c r="P68" s="309"/>
      <c r="Q68" s="309"/>
      <c r="R68" s="309"/>
      <c r="S68" s="309"/>
      <c r="T68" s="3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</row>
    <row r="69" spans="1:32" ht="19.5" customHeight="1" x14ac:dyDescent="0.2">
      <c r="A69" s="15"/>
      <c r="B69" s="15"/>
      <c r="C69" s="15"/>
      <c r="D69" s="15"/>
      <c r="E69" s="52">
        <v>0</v>
      </c>
      <c r="F69" s="15"/>
      <c r="G69" s="15"/>
      <c r="H69" s="15"/>
      <c r="I69" s="57"/>
      <c r="J69" s="57"/>
      <c r="K69" s="277"/>
      <c r="L69" s="342"/>
      <c r="M69" s="342"/>
      <c r="N69" s="342"/>
      <c r="O69" s="342"/>
      <c r="P69" s="342"/>
      <c r="Q69" s="342"/>
      <c r="R69" s="342"/>
      <c r="S69" s="342"/>
      <c r="T69" s="278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</row>
    <row r="70" spans="1:32" ht="9.75" customHeight="1" x14ac:dyDescent="0.2">
      <c r="A70" s="15"/>
      <c r="B70" s="15"/>
      <c r="C70" s="16"/>
      <c r="D70" s="16"/>
      <c r="E70" s="52">
        <v>0</v>
      </c>
      <c r="F70" s="16"/>
      <c r="G70" s="16"/>
      <c r="H70" s="15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5"/>
      <c r="T70" s="55"/>
      <c r="U70" s="15"/>
      <c r="V70" s="16"/>
      <c r="W70" s="15"/>
      <c r="X70" s="16"/>
      <c r="Y70" s="15"/>
      <c r="Z70" s="15"/>
      <c r="AA70" s="15"/>
      <c r="AB70" s="15"/>
      <c r="AC70" s="15"/>
      <c r="AD70" s="15"/>
      <c r="AE70" s="15"/>
      <c r="AF70" s="15"/>
    </row>
    <row r="71" spans="1:32" ht="19.5" customHeight="1" x14ac:dyDescent="0.2">
      <c r="A71" s="15"/>
      <c r="B71" s="15"/>
      <c r="C71" s="15"/>
      <c r="D71" s="15"/>
      <c r="E71" s="52">
        <f>IF(LEN(K72)&gt;0,1,0)</f>
        <v>0</v>
      </c>
      <c r="F71" s="15"/>
      <c r="G71" s="15"/>
      <c r="H71" s="15"/>
      <c r="I71" s="57"/>
      <c r="J71" s="57"/>
      <c r="K71" s="57" t="s">
        <v>66</v>
      </c>
      <c r="L71" s="77"/>
      <c r="M71" s="85"/>
      <c r="N71" s="86"/>
      <c r="O71" s="86"/>
      <c r="P71" s="86"/>
      <c r="Q71" s="86"/>
      <c r="R71" s="86"/>
      <c r="S71" s="86"/>
      <c r="T71" s="5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</row>
    <row r="72" spans="1:32" ht="19.5" customHeight="1" x14ac:dyDescent="0.2">
      <c r="A72" s="15"/>
      <c r="B72" s="15"/>
      <c r="C72" s="15"/>
      <c r="D72" s="15">
        <f>LEN(K72)</f>
        <v>0</v>
      </c>
      <c r="E72" s="52">
        <f t="shared" ref="E72:E74" si="2">E71</f>
        <v>0</v>
      </c>
      <c r="F72" s="15"/>
      <c r="G72" s="15"/>
      <c r="H72" s="15"/>
      <c r="I72" s="57"/>
      <c r="J72" s="57"/>
      <c r="K72" s="340" t="str">
        <f>IF(Proposta!O69="","",Proposta!O69)</f>
        <v/>
      </c>
      <c r="L72" s="294"/>
      <c r="M72" s="294"/>
      <c r="N72" s="294"/>
      <c r="O72" s="294"/>
      <c r="P72" s="294"/>
      <c r="Q72" s="294"/>
      <c r="R72" s="294"/>
      <c r="S72" s="294"/>
      <c r="T72" s="276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</row>
    <row r="73" spans="1:32" ht="19.5" customHeight="1" x14ac:dyDescent="0.2">
      <c r="A73" s="15"/>
      <c r="B73" s="15"/>
      <c r="C73" s="15"/>
      <c r="D73" s="15"/>
      <c r="E73" s="52">
        <f t="shared" si="2"/>
        <v>0</v>
      </c>
      <c r="F73" s="15"/>
      <c r="G73" s="15"/>
      <c r="H73" s="15"/>
      <c r="I73" s="57"/>
      <c r="J73" s="57"/>
      <c r="K73" s="341"/>
      <c r="L73" s="309"/>
      <c r="M73" s="309"/>
      <c r="N73" s="309"/>
      <c r="O73" s="309"/>
      <c r="P73" s="309"/>
      <c r="Q73" s="309"/>
      <c r="R73" s="309"/>
      <c r="S73" s="309"/>
      <c r="T73" s="3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</row>
    <row r="74" spans="1:32" ht="19.5" customHeight="1" x14ac:dyDescent="0.2">
      <c r="A74" s="15"/>
      <c r="B74" s="15"/>
      <c r="C74" s="15"/>
      <c r="D74" s="15"/>
      <c r="E74" s="52">
        <f t="shared" si="2"/>
        <v>0</v>
      </c>
      <c r="F74" s="15"/>
      <c r="G74" s="15"/>
      <c r="H74" s="15"/>
      <c r="I74" s="57"/>
      <c r="J74" s="57"/>
      <c r="K74" s="341"/>
      <c r="L74" s="309"/>
      <c r="M74" s="309"/>
      <c r="N74" s="309"/>
      <c r="O74" s="309"/>
      <c r="P74" s="309"/>
      <c r="Q74" s="309"/>
      <c r="R74" s="309"/>
      <c r="S74" s="309"/>
      <c r="T74" s="3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</row>
    <row r="75" spans="1:32" ht="19.5" customHeight="1" x14ac:dyDescent="0.2">
      <c r="A75" s="15"/>
      <c r="B75" s="15"/>
      <c r="C75" s="15"/>
      <c r="D75" s="15"/>
      <c r="E75" s="52">
        <f>IF(LEN(K72)&gt;350,1,0)</f>
        <v>0</v>
      </c>
      <c r="F75" s="15"/>
      <c r="G75" s="15"/>
      <c r="H75" s="15"/>
      <c r="I75" s="57"/>
      <c r="J75" s="57"/>
      <c r="K75" s="341"/>
      <c r="L75" s="309"/>
      <c r="M75" s="309"/>
      <c r="N75" s="309"/>
      <c r="O75" s="309"/>
      <c r="P75" s="309"/>
      <c r="Q75" s="309"/>
      <c r="R75" s="309"/>
      <c r="S75" s="309"/>
      <c r="T75" s="3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</row>
    <row r="76" spans="1:32" ht="19.5" customHeight="1" x14ac:dyDescent="0.2">
      <c r="A76" s="15"/>
      <c r="B76" s="15"/>
      <c r="C76" s="15"/>
      <c r="D76" s="15"/>
      <c r="E76" s="52">
        <f>E75</f>
        <v>0</v>
      </c>
      <c r="F76" s="15"/>
      <c r="G76" s="15"/>
      <c r="H76" s="15"/>
      <c r="I76" s="57"/>
      <c r="J76" s="57"/>
      <c r="K76" s="341"/>
      <c r="L76" s="309"/>
      <c r="M76" s="309"/>
      <c r="N76" s="309"/>
      <c r="O76" s="309"/>
      <c r="P76" s="309"/>
      <c r="Q76" s="309"/>
      <c r="R76" s="309"/>
      <c r="S76" s="309"/>
      <c r="T76" s="3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</row>
    <row r="77" spans="1:32" ht="19.5" customHeight="1" x14ac:dyDescent="0.2">
      <c r="A77" s="15"/>
      <c r="B77" s="15"/>
      <c r="C77" s="15"/>
      <c r="D77" s="15"/>
      <c r="E77" s="52">
        <v>0</v>
      </c>
      <c r="F77" s="15"/>
      <c r="G77" s="15"/>
      <c r="H77" s="15"/>
      <c r="I77" s="57"/>
      <c r="J77" s="57"/>
      <c r="K77" s="277"/>
      <c r="L77" s="342"/>
      <c r="M77" s="342"/>
      <c r="N77" s="342"/>
      <c r="O77" s="342"/>
      <c r="P77" s="342"/>
      <c r="Q77" s="342"/>
      <c r="R77" s="342"/>
      <c r="S77" s="342"/>
      <c r="T77" s="278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</row>
    <row r="78" spans="1:32" ht="19.5" customHeight="1" x14ac:dyDescent="0.2">
      <c r="A78" s="15"/>
      <c r="B78" s="15"/>
      <c r="C78" s="15"/>
      <c r="D78" s="15"/>
      <c r="E78" s="52">
        <v>0</v>
      </c>
      <c r="F78" s="15"/>
      <c r="G78" s="15"/>
      <c r="H78" s="15"/>
      <c r="I78" s="88"/>
      <c r="J78" s="88"/>
      <c r="K78" s="88"/>
      <c r="L78" s="88"/>
      <c r="M78" s="88"/>
      <c r="N78" s="53"/>
      <c r="O78" s="53"/>
      <c r="P78" s="53"/>
      <c r="Q78" s="53"/>
      <c r="R78" s="53"/>
      <c r="S78" s="55"/>
      <c r="T78" s="5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</row>
    <row r="79" spans="1:32" ht="19.5" customHeight="1" x14ac:dyDescent="0.2">
      <c r="A79" s="15"/>
      <c r="B79" s="15"/>
      <c r="C79" s="15"/>
      <c r="D79" s="15"/>
      <c r="E79" s="52">
        <v>1</v>
      </c>
      <c r="F79" s="15"/>
      <c r="G79" s="15"/>
      <c r="H79" s="15"/>
      <c r="I79" s="88"/>
      <c r="J79" s="347" t="str">
        <f>IF(Proposta!L95="","",Proposta!L95)</f>
        <v/>
      </c>
      <c r="K79" s="298"/>
      <c r="L79" s="298"/>
      <c r="M79" s="274"/>
      <c r="N79" s="343">
        <f ca="1">IF(Proposta!O95="","",Proposta!O95)</f>
        <v>43181</v>
      </c>
      <c r="O79" s="298"/>
      <c r="P79" s="298"/>
      <c r="Q79" s="298"/>
      <c r="R79" s="298"/>
      <c r="S79" s="274"/>
      <c r="T79" s="5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</row>
    <row r="80" spans="1:32" ht="19.5" customHeight="1" x14ac:dyDescent="0.2">
      <c r="A80" s="15"/>
      <c r="B80" s="15"/>
      <c r="C80" s="15"/>
      <c r="D80" s="15"/>
      <c r="E80" s="52">
        <v>1</v>
      </c>
      <c r="F80" s="15"/>
      <c r="G80" s="15"/>
      <c r="H80" s="15"/>
      <c r="I80" s="88"/>
      <c r="J80" s="88"/>
      <c r="K80" s="88"/>
      <c r="L80" s="88"/>
      <c r="M80" s="88"/>
      <c r="N80" s="53"/>
      <c r="O80" s="53"/>
      <c r="P80" s="53"/>
      <c r="Q80" s="53"/>
      <c r="R80" s="53"/>
      <c r="S80" s="55"/>
      <c r="T80" s="5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</row>
    <row r="81" spans="1:32" ht="19.5" customHeight="1" x14ac:dyDescent="0.2">
      <c r="A81" s="15"/>
      <c r="B81" s="15"/>
      <c r="C81" s="15"/>
      <c r="D81" s="15"/>
      <c r="E81" s="52">
        <v>1</v>
      </c>
      <c r="F81" s="15"/>
      <c r="G81" s="15"/>
      <c r="H81" s="15"/>
      <c r="I81" s="88"/>
      <c r="J81" s="88"/>
      <c r="K81" s="88"/>
      <c r="L81" s="88"/>
      <c r="M81" s="88"/>
      <c r="N81" s="53"/>
      <c r="O81" s="53"/>
      <c r="P81" s="53"/>
      <c r="Q81" s="53"/>
      <c r="R81" s="53"/>
      <c r="S81" s="55"/>
      <c r="T81" s="5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</row>
    <row r="82" spans="1:32" ht="19.5" customHeight="1" x14ac:dyDescent="0.2">
      <c r="A82" s="15"/>
      <c r="B82" s="15"/>
      <c r="C82" s="15"/>
      <c r="D82" s="15"/>
      <c r="E82" s="52">
        <v>1</v>
      </c>
      <c r="F82" s="15"/>
      <c r="G82" s="15"/>
      <c r="H82" s="15"/>
      <c r="I82" s="88"/>
      <c r="J82" s="88"/>
      <c r="K82" s="88"/>
      <c r="L82" s="53"/>
      <c r="M82" s="53"/>
      <c r="N82" s="53"/>
      <c r="O82" s="53"/>
      <c r="P82" s="53"/>
      <c r="Q82" s="53"/>
      <c r="R82" s="53"/>
      <c r="S82" s="55"/>
      <c r="T82" s="5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</row>
    <row r="83" spans="1:32" ht="19.5" customHeight="1" x14ac:dyDescent="0.2">
      <c r="A83" s="15"/>
      <c r="B83" s="15"/>
      <c r="C83" s="15"/>
      <c r="D83" s="15"/>
      <c r="E83" s="52">
        <v>1</v>
      </c>
      <c r="F83" s="15"/>
      <c r="G83" s="15"/>
      <c r="H83" s="15"/>
      <c r="I83" s="88"/>
      <c r="J83" s="344" t="str">
        <f>IF(Proposta!M100="","",Proposta!M100)&amp;" - "&amp;IF(Proposta!M101="","",Proposta!M101)</f>
        <v xml:space="preserve"> - </v>
      </c>
      <c r="K83" s="345"/>
      <c r="L83" s="345"/>
      <c r="M83" s="345"/>
      <c r="N83" s="345"/>
      <c r="O83" s="345"/>
      <c r="P83" s="345"/>
      <c r="Q83" s="345"/>
      <c r="R83" s="345"/>
      <c r="S83" s="346"/>
      <c r="T83" s="63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</row>
    <row r="84" spans="1:32" ht="19.5" customHeight="1" x14ac:dyDescent="0.2">
      <c r="A84" s="15"/>
      <c r="B84" s="15"/>
      <c r="C84" s="15"/>
      <c r="D84" s="15"/>
      <c r="E84" s="52">
        <v>1</v>
      </c>
      <c r="F84" s="15"/>
      <c r="G84" s="15"/>
      <c r="H84" s="15"/>
      <c r="I84" s="88"/>
      <c r="J84" s="88"/>
      <c r="K84" s="88"/>
      <c r="L84" s="88"/>
      <c r="M84" s="88"/>
      <c r="N84" s="53"/>
      <c r="O84" s="53"/>
      <c r="P84" s="53"/>
      <c r="Q84" s="53"/>
      <c r="R84" s="53"/>
      <c r="S84" s="55"/>
      <c r="T84" s="5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</row>
    <row r="85" spans="1:32" ht="19.5" customHeight="1" x14ac:dyDescent="0.2">
      <c r="A85" s="15"/>
      <c r="B85" s="15"/>
      <c r="C85" s="15"/>
      <c r="D85" s="15"/>
      <c r="E85" s="52" t="e">
        <f>E87</f>
        <v>#REF!</v>
      </c>
      <c r="F85" s="15"/>
      <c r="G85" s="15"/>
      <c r="H85" s="15"/>
      <c r="I85" s="88"/>
      <c r="J85" s="88"/>
      <c r="K85" s="88"/>
      <c r="L85" s="88"/>
      <c r="M85" s="88"/>
      <c r="N85" s="53"/>
      <c r="O85" s="53"/>
      <c r="P85" s="53"/>
      <c r="Q85" s="53"/>
      <c r="R85" s="53"/>
      <c r="S85" s="55"/>
      <c r="T85" s="5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</row>
    <row r="86" spans="1:32" ht="19.5" customHeight="1" x14ac:dyDescent="0.2">
      <c r="A86" s="15"/>
      <c r="B86" s="15"/>
      <c r="C86" s="15"/>
      <c r="D86" s="15"/>
      <c r="E86" s="52" t="e">
        <f>E87</f>
        <v>#REF!</v>
      </c>
      <c r="F86" s="15"/>
      <c r="G86" s="15"/>
      <c r="H86" s="15"/>
      <c r="I86" s="88"/>
      <c r="J86" s="88"/>
      <c r="K86" s="88"/>
      <c r="L86" s="53"/>
      <c r="M86" s="53"/>
      <c r="N86" s="53"/>
      <c r="O86" s="53"/>
      <c r="P86" s="53"/>
      <c r="Q86" s="53"/>
      <c r="R86" s="53"/>
      <c r="S86" s="55"/>
      <c r="T86" s="5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</row>
    <row r="87" spans="1:32" ht="19.5" customHeight="1" x14ac:dyDescent="0.2">
      <c r="A87" s="15"/>
      <c r="B87" s="15"/>
      <c r="C87" s="15"/>
      <c r="D87" s="15"/>
      <c r="E87" s="52" t="e">
        <f>IF(#REF!="",0,1)</f>
        <v>#REF!</v>
      </c>
      <c r="F87" s="15"/>
      <c r="G87" s="15"/>
      <c r="H87" s="15"/>
      <c r="I87" s="88"/>
      <c r="J87" s="344" t="e">
        <f>IF(#REF!="","",IF(#REF!="","",#REF!)&amp;" - "&amp;IF(#REF!="","",#REF!))</f>
        <v>#REF!</v>
      </c>
      <c r="K87" s="345"/>
      <c r="L87" s="345"/>
      <c r="M87" s="345"/>
      <c r="N87" s="345"/>
      <c r="O87" s="345"/>
      <c r="P87" s="345"/>
      <c r="Q87" s="345"/>
      <c r="R87" s="345"/>
      <c r="S87" s="346"/>
      <c r="T87" s="63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</row>
    <row r="88" spans="1:32" ht="19.5" customHeight="1" x14ac:dyDescent="0.2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</row>
    <row r="89" spans="1:32" ht="19.5" customHeight="1" x14ac:dyDescent="0.2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</row>
    <row r="90" spans="1:32" ht="12.75" customHeight="1" x14ac:dyDescent="0.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</row>
    <row r="91" spans="1:32" ht="12.75" customHeight="1" x14ac:dyDescent="0.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</row>
    <row r="92" spans="1:32" ht="12.75" customHeight="1" x14ac:dyDescent="0.2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</row>
    <row r="93" spans="1:32" ht="12.75" customHeight="1" x14ac:dyDescent="0.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</row>
    <row r="94" spans="1:32" ht="12.75" customHeight="1" x14ac:dyDescent="0.2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</row>
    <row r="95" spans="1:32" ht="12.75" customHeight="1" x14ac:dyDescent="0.2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</row>
    <row r="96" spans="1:32" ht="12.75" customHeight="1" x14ac:dyDescent="0.2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</row>
    <row r="97" spans="1:32" ht="12.75" customHeight="1" x14ac:dyDescent="0.2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</row>
    <row r="98" spans="1:32" ht="12.75" customHeight="1" x14ac:dyDescent="0.2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</row>
    <row r="99" spans="1:32" ht="12.75" customHeight="1" x14ac:dyDescent="0.2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</row>
    <row r="100" spans="1:32" ht="12.75" customHeight="1" x14ac:dyDescent="0.2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</row>
    <row r="101" spans="1:32" ht="12.75" customHeight="1" x14ac:dyDescent="0.2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</row>
    <row r="102" spans="1:32" ht="12.75" customHeight="1" x14ac:dyDescent="0.2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</row>
    <row r="103" spans="1:32" ht="12.75" customHeight="1" x14ac:dyDescent="0.2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</row>
    <row r="104" spans="1:32" ht="12.75" customHeight="1" x14ac:dyDescent="0.2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</row>
    <row r="105" spans="1:32" ht="12.75" customHeight="1" x14ac:dyDescent="0.2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</row>
    <row r="106" spans="1:32" ht="12.75" customHeight="1" x14ac:dyDescent="0.2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</row>
    <row r="107" spans="1:32" ht="12.75" customHeight="1" x14ac:dyDescent="0.2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</row>
    <row r="108" spans="1:32" ht="12.75" customHeight="1" x14ac:dyDescent="0.2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</row>
    <row r="109" spans="1:32" ht="12.75" customHeight="1" x14ac:dyDescent="0.2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</row>
    <row r="110" spans="1:32" ht="12.75" customHeight="1" x14ac:dyDescent="0.2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</row>
    <row r="111" spans="1:32" ht="12.75" customHeight="1" x14ac:dyDescent="0.2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</row>
    <row r="112" spans="1:32" ht="12.75" customHeight="1" x14ac:dyDescent="0.2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</row>
    <row r="113" spans="1:32" ht="12.75" customHeight="1" x14ac:dyDescent="0.2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</row>
    <row r="114" spans="1:32" ht="12.75" customHeight="1" x14ac:dyDescent="0.2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</row>
    <row r="115" spans="1:32" ht="12.75" customHeight="1" x14ac:dyDescent="0.2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</row>
    <row r="116" spans="1:32" ht="12.75" customHeight="1" x14ac:dyDescent="0.2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</row>
    <row r="117" spans="1:32" ht="12.75" customHeight="1" x14ac:dyDescent="0.2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</row>
    <row r="118" spans="1:32" ht="12.75" customHeight="1" x14ac:dyDescent="0.2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</row>
    <row r="119" spans="1:32" ht="12.75" customHeight="1" x14ac:dyDescent="0.2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</row>
    <row r="120" spans="1:32" ht="12.75" customHeight="1" x14ac:dyDescent="0.2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</row>
    <row r="121" spans="1:32" ht="12.75" customHeight="1" x14ac:dyDescent="0.2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</row>
    <row r="122" spans="1:32" ht="12.75" customHeight="1" x14ac:dyDescent="0.2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</row>
    <row r="123" spans="1:32" ht="12.75" customHeight="1" x14ac:dyDescent="0.2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</row>
    <row r="124" spans="1:32" ht="12.75" customHeight="1" x14ac:dyDescent="0.2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</row>
    <row r="125" spans="1:32" ht="12.75" customHeight="1" x14ac:dyDescent="0.2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</row>
    <row r="126" spans="1:32" ht="12.75" customHeight="1" x14ac:dyDescent="0.2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</row>
    <row r="127" spans="1:32" ht="12.75" customHeight="1" x14ac:dyDescent="0.2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</row>
    <row r="128" spans="1:32" ht="12.75" customHeight="1" x14ac:dyDescent="0.2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</row>
    <row r="129" spans="1:32" ht="12.75" customHeight="1" x14ac:dyDescent="0.2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</row>
    <row r="130" spans="1:32" ht="12.75" customHeight="1" x14ac:dyDescent="0.2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</row>
    <row r="131" spans="1:32" ht="12.75" customHeight="1" x14ac:dyDescent="0.2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</row>
    <row r="132" spans="1:32" ht="12.75" customHeight="1" x14ac:dyDescent="0.2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</row>
    <row r="133" spans="1:32" ht="12.75" customHeight="1" x14ac:dyDescent="0.2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</row>
    <row r="134" spans="1:32" ht="12.75" customHeight="1" x14ac:dyDescent="0.2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</row>
    <row r="135" spans="1:32" ht="12.75" customHeight="1" x14ac:dyDescent="0.2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</row>
    <row r="136" spans="1:32" ht="12.75" customHeight="1" x14ac:dyDescent="0.2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</row>
    <row r="137" spans="1:32" ht="12.75" customHeight="1" x14ac:dyDescent="0.2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</row>
    <row r="138" spans="1:32" ht="12.75" customHeight="1" x14ac:dyDescent="0.2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</row>
    <row r="139" spans="1:32" ht="12.75" customHeight="1" x14ac:dyDescent="0.2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</row>
    <row r="140" spans="1:32" ht="12.75" customHeight="1" x14ac:dyDescent="0.2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</row>
    <row r="141" spans="1:32" ht="12.75" customHeight="1" x14ac:dyDescent="0.2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</row>
    <row r="142" spans="1:32" ht="12.75" customHeight="1" x14ac:dyDescent="0.2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</row>
    <row r="143" spans="1:32" ht="12.75" customHeight="1" x14ac:dyDescent="0.2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</row>
    <row r="144" spans="1:32" ht="12.75" customHeight="1" x14ac:dyDescent="0.2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</row>
    <row r="145" spans="1:32" ht="12.75" customHeight="1" x14ac:dyDescent="0.2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</row>
    <row r="146" spans="1:32" ht="12.75" customHeight="1" x14ac:dyDescent="0.2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</row>
    <row r="147" spans="1:32" ht="12.75" customHeight="1" x14ac:dyDescent="0.2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</row>
    <row r="148" spans="1:32" ht="12.75" customHeight="1" x14ac:dyDescent="0.2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</row>
    <row r="149" spans="1:32" ht="12.75" customHeight="1" x14ac:dyDescent="0.2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</row>
    <row r="150" spans="1:32" ht="12.75" customHeight="1" x14ac:dyDescent="0.2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</row>
    <row r="151" spans="1:32" ht="12.75" customHeight="1" x14ac:dyDescent="0.2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</row>
    <row r="152" spans="1:32" ht="12.75" customHeight="1" x14ac:dyDescent="0.2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</row>
    <row r="153" spans="1:32" ht="12.75" customHeight="1" x14ac:dyDescent="0.2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</row>
    <row r="154" spans="1:32" ht="12.75" customHeight="1" x14ac:dyDescent="0.2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</row>
    <row r="155" spans="1:32" ht="12.75" customHeight="1" x14ac:dyDescent="0.2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</row>
    <row r="156" spans="1:32" ht="12.75" customHeight="1" x14ac:dyDescent="0.2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</row>
    <row r="157" spans="1:32" ht="12.75" customHeight="1" x14ac:dyDescent="0.2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</row>
    <row r="158" spans="1:32" ht="12.75" customHeight="1" x14ac:dyDescent="0.2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</row>
    <row r="159" spans="1:32" ht="12.75" customHeight="1" x14ac:dyDescent="0.2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</row>
    <row r="160" spans="1:32" ht="12.75" customHeight="1" x14ac:dyDescent="0.2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</row>
    <row r="161" spans="1:32" ht="12.7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</row>
    <row r="162" spans="1:32" ht="12.7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</row>
    <row r="163" spans="1:32" ht="12.75" customHeight="1" x14ac:dyDescent="0.2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</row>
    <row r="164" spans="1:32" ht="12.75" customHeight="1" x14ac:dyDescent="0.2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</row>
    <row r="165" spans="1:32" ht="12.75" customHeight="1" x14ac:dyDescent="0.2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</row>
    <row r="166" spans="1:32" ht="12.75" customHeight="1" x14ac:dyDescent="0.2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</row>
    <row r="167" spans="1:32" ht="12.75" customHeight="1" x14ac:dyDescent="0.2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</row>
    <row r="168" spans="1:32" ht="12.75" customHeight="1" x14ac:dyDescent="0.2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</row>
    <row r="169" spans="1:32" ht="12.75" customHeight="1" x14ac:dyDescent="0.2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</row>
    <row r="170" spans="1:32" ht="12.75" customHeight="1" x14ac:dyDescent="0.2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</row>
    <row r="171" spans="1:32" ht="12.75" customHeight="1" x14ac:dyDescent="0.2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</row>
    <row r="172" spans="1:32" ht="12.75" customHeight="1" x14ac:dyDescent="0.2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</row>
    <row r="173" spans="1:32" ht="12.75" customHeight="1" x14ac:dyDescent="0.2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</row>
    <row r="174" spans="1:32" ht="12.75" customHeight="1" x14ac:dyDescent="0.2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</row>
    <row r="175" spans="1:32" ht="12.75" customHeight="1" x14ac:dyDescent="0.2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</row>
    <row r="176" spans="1:32" ht="12.75" customHeight="1" x14ac:dyDescent="0.2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</row>
    <row r="177" spans="1:32" ht="12.75" customHeight="1" x14ac:dyDescent="0.2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</row>
    <row r="178" spans="1:32" ht="12.75" customHeight="1" x14ac:dyDescent="0.2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</row>
    <row r="179" spans="1:32" ht="12.75" customHeight="1" x14ac:dyDescent="0.2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</row>
    <row r="180" spans="1:32" ht="12.75" customHeight="1" x14ac:dyDescent="0.2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</row>
    <row r="181" spans="1:32" ht="12.75" customHeight="1" x14ac:dyDescent="0.2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</row>
    <row r="182" spans="1:32" ht="12.75" customHeight="1" x14ac:dyDescent="0.2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</row>
    <row r="183" spans="1:32" ht="12.75" customHeight="1" x14ac:dyDescent="0.2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</row>
    <row r="184" spans="1:32" ht="12.75" customHeight="1" x14ac:dyDescent="0.2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</row>
    <row r="185" spans="1:32" ht="12.75" customHeight="1" x14ac:dyDescent="0.2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</row>
    <row r="186" spans="1:32" ht="12.7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</row>
    <row r="187" spans="1:32" ht="12.75" customHeight="1" x14ac:dyDescent="0.2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</row>
    <row r="188" spans="1:32" ht="12.75" customHeight="1" x14ac:dyDescent="0.2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</row>
    <row r="189" spans="1:32" ht="12.75" customHeight="1" x14ac:dyDescent="0.2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</row>
    <row r="190" spans="1:32" ht="12.75" customHeight="1" x14ac:dyDescent="0.2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</row>
    <row r="191" spans="1:32" ht="12.75" customHeight="1" x14ac:dyDescent="0.2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</row>
    <row r="192" spans="1:32" ht="12.75" customHeight="1" x14ac:dyDescent="0.2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</row>
    <row r="193" spans="1:32" ht="12.75" customHeight="1" x14ac:dyDescent="0.2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</row>
    <row r="194" spans="1:32" ht="12.75" customHeight="1" x14ac:dyDescent="0.2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</row>
    <row r="195" spans="1:32" ht="12.75" customHeight="1" x14ac:dyDescent="0.2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</row>
    <row r="196" spans="1:32" ht="12.75" customHeight="1" x14ac:dyDescent="0.2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</row>
    <row r="197" spans="1:32" ht="12.75" customHeight="1" x14ac:dyDescent="0.2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</row>
    <row r="198" spans="1:32" ht="12.75" customHeight="1" x14ac:dyDescent="0.2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</row>
    <row r="199" spans="1:32" ht="12.75" customHeight="1" x14ac:dyDescent="0.2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</row>
    <row r="200" spans="1:32" ht="12.75" customHeight="1" x14ac:dyDescent="0.2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</row>
    <row r="201" spans="1:32" ht="12.75" customHeight="1" x14ac:dyDescent="0.2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</row>
    <row r="202" spans="1:32" ht="12.75" customHeight="1" x14ac:dyDescent="0.2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</row>
    <row r="203" spans="1:32" ht="12.75" customHeight="1" x14ac:dyDescent="0.2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</row>
    <row r="204" spans="1:32" ht="12.75" customHeight="1" x14ac:dyDescent="0.2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</row>
    <row r="205" spans="1:32" ht="12.75" customHeight="1" x14ac:dyDescent="0.2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</row>
    <row r="206" spans="1:32" ht="12.75" customHeight="1" x14ac:dyDescent="0.2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</row>
    <row r="207" spans="1:32" ht="12.75" customHeight="1" x14ac:dyDescent="0.2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</row>
    <row r="208" spans="1:32" ht="12.75" customHeight="1" x14ac:dyDescent="0.2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</row>
    <row r="209" spans="1:32" ht="12.75" customHeight="1" x14ac:dyDescent="0.2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</row>
    <row r="210" spans="1:32" ht="12.75" customHeight="1" x14ac:dyDescent="0.2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</row>
    <row r="211" spans="1:32" ht="12.75" customHeight="1" x14ac:dyDescent="0.2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</row>
    <row r="212" spans="1:32" ht="12.75" customHeight="1" x14ac:dyDescent="0.2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</row>
    <row r="213" spans="1:32" ht="12.75" customHeight="1" x14ac:dyDescent="0.2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</row>
    <row r="214" spans="1:32" ht="12.75" customHeight="1" x14ac:dyDescent="0.2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</row>
    <row r="215" spans="1:32" ht="12.75" customHeight="1" x14ac:dyDescent="0.2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</row>
    <row r="216" spans="1:32" ht="12.75" customHeight="1" x14ac:dyDescent="0.2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</row>
    <row r="217" spans="1:32" ht="12.75" customHeight="1" x14ac:dyDescent="0.2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</row>
    <row r="218" spans="1:32" ht="12.7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</row>
    <row r="219" spans="1:32" ht="12.75" customHeight="1" x14ac:dyDescent="0.2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</row>
    <row r="220" spans="1:32" ht="12.75" customHeight="1" x14ac:dyDescent="0.2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</row>
    <row r="221" spans="1:32" ht="12.75" customHeight="1" x14ac:dyDescent="0.2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</row>
    <row r="222" spans="1:32" ht="12.75" customHeight="1" x14ac:dyDescent="0.2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</row>
    <row r="223" spans="1:32" ht="12.75" customHeight="1" x14ac:dyDescent="0.2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</row>
    <row r="224" spans="1:32" ht="12.75" customHeight="1" x14ac:dyDescent="0.2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</row>
    <row r="225" spans="1:32" ht="12.75" customHeight="1" x14ac:dyDescent="0.2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</row>
    <row r="226" spans="1:32" ht="12.75" customHeight="1" x14ac:dyDescent="0.2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</row>
    <row r="227" spans="1:32" ht="12.75" customHeight="1" x14ac:dyDescent="0.2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</row>
    <row r="228" spans="1:32" ht="12.75" customHeight="1" x14ac:dyDescent="0.2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</row>
    <row r="229" spans="1:32" ht="12.75" customHeight="1" x14ac:dyDescent="0.2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</row>
    <row r="230" spans="1:32" ht="12.75" customHeight="1" x14ac:dyDescent="0.2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</row>
    <row r="231" spans="1:32" ht="12.75" customHeight="1" x14ac:dyDescent="0.2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</row>
    <row r="232" spans="1:32" ht="12.75" customHeight="1" x14ac:dyDescent="0.2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</row>
    <row r="233" spans="1:32" ht="12.75" customHeight="1" x14ac:dyDescent="0.2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</row>
    <row r="234" spans="1:32" ht="12.7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</row>
    <row r="235" spans="1:32" ht="12.75" customHeight="1" x14ac:dyDescent="0.2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</row>
    <row r="236" spans="1:32" ht="12.75" customHeight="1" x14ac:dyDescent="0.2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</row>
    <row r="237" spans="1:32" ht="12.75" customHeight="1" x14ac:dyDescent="0.2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</row>
    <row r="238" spans="1:32" ht="12.75" customHeight="1" x14ac:dyDescent="0.2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</row>
    <row r="239" spans="1:32" ht="12.75" customHeight="1" x14ac:dyDescent="0.2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</row>
    <row r="240" spans="1:32" ht="12.75" customHeight="1" x14ac:dyDescent="0.2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</row>
    <row r="241" spans="1:32" ht="12.75" customHeight="1" x14ac:dyDescent="0.2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</row>
    <row r="242" spans="1:32" ht="12.75" customHeight="1" x14ac:dyDescent="0.2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</row>
    <row r="243" spans="1:32" ht="12.75" customHeight="1" x14ac:dyDescent="0.2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</row>
    <row r="244" spans="1:32" ht="12.75" customHeight="1" x14ac:dyDescent="0.2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</row>
    <row r="245" spans="1:32" ht="12.75" customHeight="1" x14ac:dyDescent="0.2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</row>
    <row r="246" spans="1:32" ht="12.75" customHeight="1" x14ac:dyDescent="0.2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</row>
    <row r="247" spans="1:32" ht="12.75" customHeight="1" x14ac:dyDescent="0.2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</row>
    <row r="248" spans="1:32" ht="12.75" customHeight="1" x14ac:dyDescent="0.2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</row>
    <row r="249" spans="1:32" ht="12.75" customHeight="1" x14ac:dyDescent="0.2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</row>
    <row r="250" spans="1:32" ht="12.7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</row>
    <row r="251" spans="1:32" ht="12.75" customHeight="1" x14ac:dyDescent="0.2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</row>
    <row r="252" spans="1:32" ht="12.75" customHeight="1" x14ac:dyDescent="0.2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</row>
    <row r="253" spans="1:32" ht="12.75" customHeight="1" x14ac:dyDescent="0.2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</row>
    <row r="254" spans="1:32" ht="12.75" customHeight="1" x14ac:dyDescent="0.2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</row>
    <row r="255" spans="1:32" ht="12.75" customHeight="1" x14ac:dyDescent="0.2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</row>
    <row r="256" spans="1:32" ht="12.75" customHeight="1" x14ac:dyDescent="0.2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</row>
    <row r="257" spans="1:32" ht="12.75" customHeight="1" x14ac:dyDescent="0.2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</row>
    <row r="258" spans="1:32" ht="12.75" customHeight="1" x14ac:dyDescent="0.2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</row>
    <row r="259" spans="1:32" ht="12.75" customHeight="1" x14ac:dyDescent="0.2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</row>
    <row r="260" spans="1:32" ht="12.75" customHeight="1" x14ac:dyDescent="0.2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</row>
    <row r="261" spans="1:32" ht="12.75" customHeight="1" x14ac:dyDescent="0.2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</row>
    <row r="262" spans="1:32" ht="12.75" customHeight="1" x14ac:dyDescent="0.2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</row>
    <row r="263" spans="1:32" ht="12.75" customHeight="1" x14ac:dyDescent="0.2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</row>
    <row r="264" spans="1:32" ht="12.75" customHeight="1" x14ac:dyDescent="0.2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</row>
    <row r="265" spans="1:32" ht="12.75" customHeight="1" x14ac:dyDescent="0.2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</row>
    <row r="266" spans="1:32" ht="12.75" customHeight="1" x14ac:dyDescent="0.2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</row>
    <row r="267" spans="1:32" ht="12.75" customHeight="1" x14ac:dyDescent="0.2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</row>
    <row r="268" spans="1:32" ht="12.75" customHeight="1" x14ac:dyDescent="0.2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</row>
    <row r="269" spans="1:32" ht="12.75" customHeight="1" x14ac:dyDescent="0.2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</row>
    <row r="270" spans="1:32" ht="12.75" customHeight="1" x14ac:dyDescent="0.2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</row>
    <row r="271" spans="1:32" ht="12.75" customHeight="1" x14ac:dyDescent="0.2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</row>
    <row r="272" spans="1:32" ht="12.75" customHeight="1" x14ac:dyDescent="0.2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</row>
    <row r="273" spans="1:32" ht="12.75" customHeight="1" x14ac:dyDescent="0.2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</row>
    <row r="274" spans="1:32" ht="12.75" customHeight="1" x14ac:dyDescent="0.2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</row>
    <row r="275" spans="1:32" ht="12.75" customHeight="1" x14ac:dyDescent="0.2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</row>
    <row r="276" spans="1:32" ht="12.75" customHeight="1" x14ac:dyDescent="0.2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</row>
    <row r="277" spans="1:32" ht="12.75" customHeight="1" x14ac:dyDescent="0.2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</row>
    <row r="278" spans="1:32" ht="12.75" customHeight="1" x14ac:dyDescent="0.2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</row>
    <row r="279" spans="1:32" ht="12.75" customHeight="1" x14ac:dyDescent="0.2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</row>
    <row r="280" spans="1:32" ht="12.75" customHeight="1" x14ac:dyDescent="0.2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</row>
    <row r="281" spans="1:32" ht="12.7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</row>
    <row r="282" spans="1:32" ht="12.7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</row>
    <row r="283" spans="1:32" ht="12.7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</row>
    <row r="284" spans="1:32" ht="12.7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</row>
    <row r="285" spans="1:32" ht="12.75" customHeight="1" x14ac:dyDescent="0.2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</row>
    <row r="286" spans="1:32" ht="12.75" customHeight="1" x14ac:dyDescent="0.2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</row>
    <row r="287" spans="1:32" ht="12.75" customHeight="1" x14ac:dyDescent="0.2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</row>
    <row r="288" spans="1:32" ht="12.75" customHeight="1" x14ac:dyDescent="0.2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</row>
    <row r="289" spans="1:32" ht="12.75" customHeight="1" x14ac:dyDescent="0.2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</row>
    <row r="290" spans="1:32" ht="12.75" customHeight="1" x14ac:dyDescent="0.2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</row>
    <row r="291" spans="1:32" ht="12.7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</row>
    <row r="292" spans="1:32" ht="12.7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</row>
    <row r="293" spans="1:32" ht="12.75" customHeight="1" x14ac:dyDescent="0.2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</row>
    <row r="294" spans="1:32" ht="12.75" customHeight="1" x14ac:dyDescent="0.2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</row>
    <row r="295" spans="1:32" ht="12.75" customHeight="1" x14ac:dyDescent="0.2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</row>
    <row r="296" spans="1:32" ht="12.75" customHeight="1" x14ac:dyDescent="0.2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</row>
    <row r="297" spans="1:32" ht="12.75" customHeight="1" x14ac:dyDescent="0.2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</row>
    <row r="298" spans="1:32" ht="12.75" customHeight="1" x14ac:dyDescent="0.2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</row>
    <row r="299" spans="1:32" ht="12.75" customHeight="1" x14ac:dyDescent="0.2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</row>
    <row r="300" spans="1:32" ht="12.75" customHeight="1" x14ac:dyDescent="0.2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</row>
    <row r="301" spans="1:32" ht="12.75" customHeight="1" x14ac:dyDescent="0.2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</row>
    <row r="302" spans="1:32" ht="12.75" customHeight="1" x14ac:dyDescent="0.2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</row>
    <row r="303" spans="1:32" ht="12.75" customHeight="1" x14ac:dyDescent="0.2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</row>
    <row r="304" spans="1:32" ht="12.75" customHeight="1" x14ac:dyDescent="0.2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</row>
    <row r="305" spans="1:32" ht="12.75" customHeight="1" x14ac:dyDescent="0.2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</row>
    <row r="306" spans="1:32" ht="12.75" customHeight="1" x14ac:dyDescent="0.2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</row>
    <row r="307" spans="1:32" ht="12.75" customHeight="1" x14ac:dyDescent="0.2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</row>
    <row r="308" spans="1:32" ht="12.75" customHeight="1" x14ac:dyDescent="0.2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</row>
    <row r="309" spans="1:32" ht="12.75" customHeight="1" x14ac:dyDescent="0.2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</row>
    <row r="310" spans="1:32" ht="12.75" customHeight="1" x14ac:dyDescent="0.2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</row>
    <row r="311" spans="1:32" ht="12.75" customHeight="1" x14ac:dyDescent="0.2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</row>
    <row r="312" spans="1:32" ht="12.75" customHeight="1" x14ac:dyDescent="0.2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</row>
    <row r="313" spans="1:32" ht="12.75" customHeight="1" x14ac:dyDescent="0.2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</row>
    <row r="314" spans="1:32" ht="12.75" customHeight="1" x14ac:dyDescent="0.2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</row>
    <row r="315" spans="1:32" ht="12.75" customHeight="1" x14ac:dyDescent="0.2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</row>
    <row r="316" spans="1:32" ht="12.75" customHeight="1" x14ac:dyDescent="0.2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</row>
    <row r="317" spans="1:32" ht="12.75" customHeight="1" x14ac:dyDescent="0.2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</row>
    <row r="318" spans="1:32" ht="12.75" customHeight="1" x14ac:dyDescent="0.2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</row>
    <row r="319" spans="1:32" ht="12.75" customHeight="1" x14ac:dyDescent="0.2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</row>
    <row r="320" spans="1:32" ht="12.75" customHeight="1" x14ac:dyDescent="0.2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</row>
    <row r="321" spans="1:32" ht="12.75" customHeight="1" x14ac:dyDescent="0.2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</row>
    <row r="322" spans="1:32" ht="12.75" customHeight="1" x14ac:dyDescent="0.2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</row>
    <row r="323" spans="1:32" ht="12.75" customHeight="1" x14ac:dyDescent="0.2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</row>
    <row r="324" spans="1:32" ht="12.75" customHeight="1" x14ac:dyDescent="0.2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</row>
    <row r="325" spans="1:32" ht="12.75" customHeight="1" x14ac:dyDescent="0.2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</row>
    <row r="326" spans="1:32" ht="12.75" customHeight="1" x14ac:dyDescent="0.2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</row>
    <row r="327" spans="1:32" ht="12.75" customHeight="1" x14ac:dyDescent="0.2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</row>
    <row r="328" spans="1:32" ht="12.75" customHeight="1" x14ac:dyDescent="0.2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</row>
    <row r="329" spans="1:32" ht="12.75" customHeight="1" x14ac:dyDescent="0.2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</row>
    <row r="330" spans="1:32" ht="12.75" customHeight="1" x14ac:dyDescent="0.2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</row>
    <row r="331" spans="1:32" ht="12.75" customHeight="1" x14ac:dyDescent="0.2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</row>
    <row r="332" spans="1:32" ht="12.75" customHeight="1" x14ac:dyDescent="0.2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</row>
    <row r="333" spans="1:32" ht="12.75" customHeight="1" x14ac:dyDescent="0.2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</row>
    <row r="334" spans="1:32" ht="12.75" customHeight="1" x14ac:dyDescent="0.2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</row>
    <row r="335" spans="1:32" ht="12.75" customHeight="1" x14ac:dyDescent="0.2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</row>
    <row r="336" spans="1:32" ht="12.75" customHeight="1" x14ac:dyDescent="0.2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</row>
    <row r="337" spans="1:32" ht="12.75" customHeight="1" x14ac:dyDescent="0.2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</row>
    <row r="338" spans="1:32" ht="12.75" customHeight="1" x14ac:dyDescent="0.2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</row>
    <row r="339" spans="1:32" ht="12.75" customHeight="1" x14ac:dyDescent="0.2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</row>
    <row r="340" spans="1:32" ht="12.75" customHeight="1" x14ac:dyDescent="0.2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</row>
    <row r="341" spans="1:32" ht="12.75" customHeight="1" x14ac:dyDescent="0.2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</row>
    <row r="342" spans="1:32" ht="12.75" customHeight="1" x14ac:dyDescent="0.2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</row>
    <row r="343" spans="1:32" ht="12.75" customHeight="1" x14ac:dyDescent="0.2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</row>
    <row r="344" spans="1:32" ht="12.75" customHeight="1" x14ac:dyDescent="0.2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</row>
    <row r="345" spans="1:32" ht="12.75" customHeight="1" x14ac:dyDescent="0.2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</row>
    <row r="346" spans="1:32" ht="12.75" customHeight="1" x14ac:dyDescent="0.2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</row>
    <row r="347" spans="1:32" ht="12.75" customHeight="1" x14ac:dyDescent="0.2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</row>
    <row r="348" spans="1:32" ht="12.75" customHeight="1" x14ac:dyDescent="0.2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</row>
    <row r="349" spans="1:32" ht="12.75" customHeight="1" x14ac:dyDescent="0.2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</row>
    <row r="350" spans="1:32" ht="12.75" customHeight="1" x14ac:dyDescent="0.2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</row>
    <row r="351" spans="1:32" ht="12.75" customHeight="1" x14ac:dyDescent="0.2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</row>
    <row r="352" spans="1:32" ht="12.75" customHeight="1" x14ac:dyDescent="0.2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</row>
    <row r="353" spans="1:32" ht="12.75" customHeight="1" x14ac:dyDescent="0.2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</row>
    <row r="354" spans="1:32" ht="12.75" customHeight="1" x14ac:dyDescent="0.2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</row>
    <row r="355" spans="1:32" ht="12.75" customHeight="1" x14ac:dyDescent="0.2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</row>
    <row r="356" spans="1:32" ht="12.75" customHeight="1" x14ac:dyDescent="0.2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</row>
    <row r="357" spans="1:32" ht="12.75" customHeight="1" x14ac:dyDescent="0.2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</row>
    <row r="358" spans="1:32" ht="12.75" customHeight="1" x14ac:dyDescent="0.2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</row>
    <row r="359" spans="1:32" ht="12.75" customHeight="1" x14ac:dyDescent="0.2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</row>
    <row r="360" spans="1:32" ht="12.75" customHeight="1" x14ac:dyDescent="0.2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</row>
    <row r="361" spans="1:32" ht="12.75" customHeight="1" x14ac:dyDescent="0.2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</row>
    <row r="362" spans="1:32" ht="12.75" customHeight="1" x14ac:dyDescent="0.2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</row>
    <row r="363" spans="1:32" ht="12.75" customHeight="1" x14ac:dyDescent="0.2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</row>
    <row r="364" spans="1:32" ht="12.75" customHeight="1" x14ac:dyDescent="0.2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</row>
    <row r="365" spans="1:32" ht="12.75" customHeight="1" x14ac:dyDescent="0.2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</row>
    <row r="366" spans="1:32" ht="12.75" customHeight="1" x14ac:dyDescent="0.2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</row>
    <row r="367" spans="1:32" ht="12.75" customHeight="1" x14ac:dyDescent="0.2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</row>
    <row r="368" spans="1:32" ht="12.75" customHeight="1" x14ac:dyDescent="0.2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</row>
    <row r="369" spans="1:32" ht="12.75" customHeight="1" x14ac:dyDescent="0.2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</row>
    <row r="370" spans="1:32" ht="12.75" customHeight="1" x14ac:dyDescent="0.2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</row>
    <row r="371" spans="1:32" ht="12.75" customHeight="1" x14ac:dyDescent="0.2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</row>
    <row r="372" spans="1:32" ht="12.75" customHeight="1" x14ac:dyDescent="0.2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</row>
    <row r="373" spans="1:32" ht="12.75" customHeight="1" x14ac:dyDescent="0.2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</row>
    <row r="374" spans="1:32" ht="12.75" customHeight="1" x14ac:dyDescent="0.2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</row>
    <row r="375" spans="1:32" ht="12.75" customHeight="1" x14ac:dyDescent="0.2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</row>
    <row r="376" spans="1:32" ht="12.75" customHeight="1" x14ac:dyDescent="0.2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</row>
    <row r="377" spans="1:32" ht="12.75" customHeight="1" x14ac:dyDescent="0.2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</row>
    <row r="378" spans="1:32" ht="12.75" customHeight="1" x14ac:dyDescent="0.2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</row>
    <row r="379" spans="1:32" ht="12.75" customHeight="1" x14ac:dyDescent="0.2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</row>
    <row r="380" spans="1:32" ht="12.75" customHeight="1" x14ac:dyDescent="0.2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</row>
    <row r="381" spans="1:32" ht="12.75" customHeight="1" x14ac:dyDescent="0.2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</row>
    <row r="382" spans="1:32" ht="12.75" customHeight="1" x14ac:dyDescent="0.2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</row>
    <row r="383" spans="1:32" ht="12.75" customHeight="1" x14ac:dyDescent="0.2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</row>
    <row r="384" spans="1:32" ht="12.75" customHeight="1" x14ac:dyDescent="0.2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</row>
    <row r="385" spans="1:32" ht="12.75" customHeight="1" x14ac:dyDescent="0.2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</row>
    <row r="386" spans="1:32" ht="12.75" customHeight="1" x14ac:dyDescent="0.2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</row>
    <row r="387" spans="1:32" ht="12.75" customHeight="1" x14ac:dyDescent="0.2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</row>
    <row r="388" spans="1:32" ht="12.75" customHeight="1" x14ac:dyDescent="0.2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</row>
    <row r="389" spans="1:32" ht="12.75" customHeight="1" x14ac:dyDescent="0.2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</row>
    <row r="390" spans="1:32" ht="12.75" customHeight="1" x14ac:dyDescent="0.2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</row>
    <row r="391" spans="1:32" ht="12.75" customHeight="1" x14ac:dyDescent="0.2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</row>
    <row r="392" spans="1:32" ht="12.75" customHeight="1" x14ac:dyDescent="0.2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</row>
    <row r="393" spans="1:32" ht="12.75" customHeight="1" x14ac:dyDescent="0.2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</row>
    <row r="394" spans="1:32" ht="12.75" customHeight="1" x14ac:dyDescent="0.2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</row>
    <row r="395" spans="1:32" ht="12.75" customHeight="1" x14ac:dyDescent="0.2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</row>
    <row r="396" spans="1:32" ht="12.75" customHeight="1" x14ac:dyDescent="0.2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</row>
    <row r="397" spans="1:32" ht="12.75" customHeight="1" x14ac:dyDescent="0.2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</row>
    <row r="398" spans="1:32" ht="12.75" customHeight="1" x14ac:dyDescent="0.2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</row>
    <row r="399" spans="1:32" ht="12.75" customHeight="1" x14ac:dyDescent="0.2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</row>
    <row r="400" spans="1:32" ht="12.75" customHeight="1" x14ac:dyDescent="0.2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</row>
    <row r="401" spans="1:32" ht="12.75" customHeight="1" x14ac:dyDescent="0.2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</row>
    <row r="402" spans="1:32" ht="12.75" customHeight="1" x14ac:dyDescent="0.2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</row>
    <row r="403" spans="1:32" ht="12.75" customHeight="1" x14ac:dyDescent="0.2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</row>
    <row r="404" spans="1:32" ht="12.75" customHeight="1" x14ac:dyDescent="0.2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</row>
    <row r="405" spans="1:32" ht="12.75" customHeight="1" x14ac:dyDescent="0.2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</row>
    <row r="406" spans="1:32" ht="12.75" customHeight="1" x14ac:dyDescent="0.2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</row>
    <row r="407" spans="1:32" ht="12.75" customHeight="1" x14ac:dyDescent="0.2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</row>
    <row r="408" spans="1:32" ht="12.75" customHeight="1" x14ac:dyDescent="0.2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</row>
    <row r="409" spans="1:32" ht="12.75" customHeight="1" x14ac:dyDescent="0.2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</row>
    <row r="410" spans="1:32" ht="12.75" customHeight="1" x14ac:dyDescent="0.2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</row>
    <row r="411" spans="1:32" ht="12.75" customHeight="1" x14ac:dyDescent="0.2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</row>
    <row r="412" spans="1:32" ht="12.75" customHeight="1" x14ac:dyDescent="0.2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</row>
    <row r="413" spans="1:32" ht="12.75" customHeight="1" x14ac:dyDescent="0.2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</row>
    <row r="414" spans="1:32" ht="12.75" customHeight="1" x14ac:dyDescent="0.2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</row>
    <row r="415" spans="1:32" ht="12.75" customHeight="1" x14ac:dyDescent="0.2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</row>
    <row r="416" spans="1:32" ht="12.75" customHeight="1" x14ac:dyDescent="0.2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</row>
    <row r="417" spans="1:32" ht="12.75" customHeight="1" x14ac:dyDescent="0.2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</row>
    <row r="418" spans="1:32" ht="12.75" customHeight="1" x14ac:dyDescent="0.2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</row>
    <row r="419" spans="1:32" ht="12.75" customHeight="1" x14ac:dyDescent="0.2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</row>
    <row r="420" spans="1:32" ht="12.75" customHeight="1" x14ac:dyDescent="0.2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</row>
    <row r="421" spans="1:32" ht="12.75" customHeight="1" x14ac:dyDescent="0.2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</row>
    <row r="422" spans="1:32" ht="12.75" customHeight="1" x14ac:dyDescent="0.2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</row>
    <row r="423" spans="1:32" ht="12.75" customHeight="1" x14ac:dyDescent="0.2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</row>
    <row r="424" spans="1:32" ht="12.75" customHeight="1" x14ac:dyDescent="0.2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</row>
    <row r="425" spans="1:32" ht="12.75" customHeight="1" x14ac:dyDescent="0.2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</row>
    <row r="426" spans="1:32" ht="12.75" customHeight="1" x14ac:dyDescent="0.2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</row>
    <row r="427" spans="1:32" ht="12.75" customHeight="1" x14ac:dyDescent="0.2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</row>
    <row r="428" spans="1:32" ht="12.75" customHeight="1" x14ac:dyDescent="0.2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</row>
    <row r="429" spans="1:32" ht="12.75" customHeight="1" x14ac:dyDescent="0.2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</row>
    <row r="430" spans="1:32" ht="12.75" customHeight="1" x14ac:dyDescent="0.2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</row>
    <row r="431" spans="1:32" ht="12.75" customHeight="1" x14ac:dyDescent="0.2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</row>
    <row r="432" spans="1:32" ht="12.75" customHeight="1" x14ac:dyDescent="0.2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</row>
    <row r="433" spans="1:32" ht="12.75" customHeight="1" x14ac:dyDescent="0.2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</row>
    <row r="434" spans="1:32" ht="12.75" customHeight="1" x14ac:dyDescent="0.2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</row>
    <row r="435" spans="1:32" ht="12.75" customHeight="1" x14ac:dyDescent="0.2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</row>
    <row r="436" spans="1:32" ht="12.75" customHeight="1" x14ac:dyDescent="0.2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</row>
    <row r="437" spans="1:32" ht="12.75" customHeight="1" x14ac:dyDescent="0.2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</row>
    <row r="438" spans="1:32" ht="12.75" customHeight="1" x14ac:dyDescent="0.2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</row>
    <row r="439" spans="1:32" ht="12.75" customHeight="1" x14ac:dyDescent="0.2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</row>
    <row r="440" spans="1:32" ht="12.75" customHeight="1" x14ac:dyDescent="0.2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</row>
    <row r="441" spans="1:32" ht="12.75" customHeight="1" x14ac:dyDescent="0.2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</row>
    <row r="442" spans="1:32" ht="12.75" customHeight="1" x14ac:dyDescent="0.2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</row>
    <row r="443" spans="1:32" ht="12.75" customHeight="1" x14ac:dyDescent="0.2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</row>
    <row r="444" spans="1:32" ht="12.75" customHeight="1" x14ac:dyDescent="0.2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</row>
    <row r="445" spans="1:32" ht="12.75" customHeight="1" x14ac:dyDescent="0.2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</row>
    <row r="446" spans="1:32" ht="12.75" customHeight="1" x14ac:dyDescent="0.2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</row>
    <row r="447" spans="1:32" ht="12.75" customHeight="1" x14ac:dyDescent="0.2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</row>
    <row r="448" spans="1:32" ht="12.75" customHeight="1" x14ac:dyDescent="0.2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</row>
    <row r="449" spans="1:32" ht="12.75" customHeight="1" x14ac:dyDescent="0.2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</row>
    <row r="450" spans="1:32" ht="12.75" customHeight="1" x14ac:dyDescent="0.2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</row>
    <row r="451" spans="1:32" ht="12.75" customHeight="1" x14ac:dyDescent="0.2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</row>
    <row r="452" spans="1:32" ht="12.75" customHeight="1" x14ac:dyDescent="0.2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</row>
    <row r="453" spans="1:32" ht="12.75" customHeight="1" x14ac:dyDescent="0.2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</row>
    <row r="454" spans="1:32" ht="12.75" customHeight="1" x14ac:dyDescent="0.2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</row>
    <row r="455" spans="1:32" ht="12.75" customHeight="1" x14ac:dyDescent="0.2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</row>
    <row r="456" spans="1:32" ht="12.75" customHeight="1" x14ac:dyDescent="0.2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</row>
    <row r="457" spans="1:32" ht="12.75" customHeight="1" x14ac:dyDescent="0.2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</row>
    <row r="458" spans="1:32" ht="12.75" customHeight="1" x14ac:dyDescent="0.2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</row>
    <row r="459" spans="1:32" ht="12.75" customHeight="1" x14ac:dyDescent="0.2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</row>
    <row r="460" spans="1:32" ht="12.75" customHeight="1" x14ac:dyDescent="0.2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</row>
    <row r="461" spans="1:32" ht="12.75" customHeight="1" x14ac:dyDescent="0.2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</row>
    <row r="462" spans="1:32" ht="12.75" customHeight="1" x14ac:dyDescent="0.2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</row>
    <row r="463" spans="1:32" ht="12.75" customHeight="1" x14ac:dyDescent="0.2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</row>
    <row r="464" spans="1:32" ht="12.75" customHeight="1" x14ac:dyDescent="0.2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</row>
    <row r="465" spans="1:32" ht="12.75" customHeight="1" x14ac:dyDescent="0.2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</row>
    <row r="466" spans="1:32" ht="12.75" customHeight="1" x14ac:dyDescent="0.2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</row>
    <row r="467" spans="1:32" ht="12.75" customHeight="1" x14ac:dyDescent="0.2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</row>
    <row r="468" spans="1:32" ht="12.75" customHeight="1" x14ac:dyDescent="0.2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</row>
    <row r="469" spans="1:32" ht="12.75" customHeight="1" x14ac:dyDescent="0.2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</row>
    <row r="470" spans="1:32" ht="12.75" customHeight="1" x14ac:dyDescent="0.2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</row>
    <row r="471" spans="1:32" ht="12.75" customHeight="1" x14ac:dyDescent="0.2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</row>
    <row r="472" spans="1:32" ht="12.75" customHeight="1" x14ac:dyDescent="0.2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</row>
    <row r="473" spans="1:32" ht="12.75" customHeight="1" x14ac:dyDescent="0.2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</row>
    <row r="474" spans="1:32" ht="12.75" customHeight="1" x14ac:dyDescent="0.2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</row>
    <row r="475" spans="1:32" ht="12.75" customHeight="1" x14ac:dyDescent="0.2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</row>
    <row r="476" spans="1:32" ht="12.75" customHeight="1" x14ac:dyDescent="0.2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</row>
    <row r="477" spans="1:32" ht="12.75" customHeight="1" x14ac:dyDescent="0.2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</row>
    <row r="478" spans="1:32" ht="12.75" customHeight="1" x14ac:dyDescent="0.2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</row>
    <row r="479" spans="1:32" ht="12.75" customHeight="1" x14ac:dyDescent="0.2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</row>
    <row r="480" spans="1:32" ht="12.75" customHeight="1" x14ac:dyDescent="0.2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</row>
    <row r="481" spans="1:32" ht="12.75" customHeight="1" x14ac:dyDescent="0.2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</row>
    <row r="482" spans="1:32" ht="12.75" customHeight="1" x14ac:dyDescent="0.2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</row>
    <row r="483" spans="1:32" ht="12.75" customHeight="1" x14ac:dyDescent="0.2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</row>
    <row r="484" spans="1:32" ht="12.75" customHeight="1" x14ac:dyDescent="0.2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</row>
    <row r="485" spans="1:32" ht="12.75" customHeight="1" x14ac:dyDescent="0.2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</row>
    <row r="486" spans="1:32" ht="12.75" customHeight="1" x14ac:dyDescent="0.2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</row>
    <row r="487" spans="1:32" ht="12.75" customHeight="1" x14ac:dyDescent="0.2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</row>
    <row r="488" spans="1:32" ht="12.75" customHeight="1" x14ac:dyDescent="0.2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</row>
    <row r="489" spans="1:32" ht="12.75" customHeight="1" x14ac:dyDescent="0.2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</row>
    <row r="490" spans="1:32" ht="12.75" customHeight="1" x14ac:dyDescent="0.2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</row>
    <row r="491" spans="1:32" ht="12.75" customHeight="1" x14ac:dyDescent="0.2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</row>
    <row r="492" spans="1:32" ht="12.75" customHeight="1" x14ac:dyDescent="0.2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</row>
    <row r="493" spans="1:32" ht="12.75" customHeight="1" x14ac:dyDescent="0.2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</row>
    <row r="494" spans="1:32" ht="12.75" customHeight="1" x14ac:dyDescent="0.2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</row>
    <row r="495" spans="1:32" ht="12.75" customHeight="1" x14ac:dyDescent="0.2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</row>
    <row r="496" spans="1:32" ht="12.75" customHeight="1" x14ac:dyDescent="0.2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</row>
    <row r="497" spans="1:32" ht="12.75" customHeight="1" x14ac:dyDescent="0.2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</row>
    <row r="498" spans="1:32" ht="12.75" customHeight="1" x14ac:dyDescent="0.2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</row>
    <row r="499" spans="1:32" ht="12.75" customHeight="1" x14ac:dyDescent="0.2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</row>
    <row r="500" spans="1:32" ht="12.75" customHeight="1" x14ac:dyDescent="0.2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</row>
    <row r="501" spans="1:32" ht="12.75" customHeight="1" x14ac:dyDescent="0.2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</row>
    <row r="502" spans="1:32" ht="12.75" customHeight="1" x14ac:dyDescent="0.2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</row>
    <row r="503" spans="1:32" ht="12.75" customHeight="1" x14ac:dyDescent="0.2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</row>
    <row r="504" spans="1:32" ht="12.75" customHeight="1" x14ac:dyDescent="0.2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</row>
    <row r="505" spans="1:32" ht="12.75" customHeight="1" x14ac:dyDescent="0.2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</row>
    <row r="506" spans="1:32" ht="12.75" customHeight="1" x14ac:dyDescent="0.2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</row>
    <row r="507" spans="1:32" ht="12.75" customHeight="1" x14ac:dyDescent="0.2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</row>
    <row r="508" spans="1:32" ht="12.75" customHeight="1" x14ac:dyDescent="0.2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</row>
    <row r="509" spans="1:32" ht="12.75" customHeight="1" x14ac:dyDescent="0.2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</row>
    <row r="510" spans="1:32" ht="12.75" customHeight="1" x14ac:dyDescent="0.2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</row>
    <row r="511" spans="1:32" ht="12.75" customHeight="1" x14ac:dyDescent="0.2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</row>
    <row r="512" spans="1:32" ht="12.75" customHeight="1" x14ac:dyDescent="0.2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</row>
    <row r="513" spans="1:32" ht="12.75" customHeight="1" x14ac:dyDescent="0.2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</row>
    <row r="514" spans="1:32" ht="12.75" customHeight="1" x14ac:dyDescent="0.2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</row>
    <row r="515" spans="1:32" ht="12.75" customHeight="1" x14ac:dyDescent="0.2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</row>
    <row r="516" spans="1:32" ht="12.75" customHeight="1" x14ac:dyDescent="0.2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</row>
    <row r="517" spans="1:32" ht="12.75" customHeight="1" x14ac:dyDescent="0.2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</row>
    <row r="518" spans="1:32" ht="12.75" customHeight="1" x14ac:dyDescent="0.2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</row>
    <row r="519" spans="1:32" ht="12.75" customHeight="1" x14ac:dyDescent="0.2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</row>
    <row r="520" spans="1:32" ht="12.75" customHeight="1" x14ac:dyDescent="0.2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</row>
    <row r="521" spans="1:32" ht="12.75" customHeight="1" x14ac:dyDescent="0.2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</row>
    <row r="522" spans="1:32" ht="12.75" customHeight="1" x14ac:dyDescent="0.2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</row>
    <row r="523" spans="1:32" ht="12.75" customHeight="1" x14ac:dyDescent="0.2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</row>
    <row r="524" spans="1:32" ht="12.75" customHeight="1" x14ac:dyDescent="0.2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</row>
    <row r="525" spans="1:32" ht="12.75" customHeight="1" x14ac:dyDescent="0.2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</row>
    <row r="526" spans="1:32" ht="12.75" customHeight="1" x14ac:dyDescent="0.2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</row>
    <row r="527" spans="1:32" ht="12.75" customHeight="1" x14ac:dyDescent="0.2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</row>
    <row r="528" spans="1:32" ht="12.75" customHeight="1" x14ac:dyDescent="0.2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</row>
    <row r="529" spans="1:32" ht="12.75" customHeight="1" x14ac:dyDescent="0.2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</row>
    <row r="530" spans="1:32" ht="12.75" customHeight="1" x14ac:dyDescent="0.2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</row>
    <row r="531" spans="1:32" ht="12.75" customHeight="1" x14ac:dyDescent="0.2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</row>
    <row r="532" spans="1:32" ht="12.75" customHeight="1" x14ac:dyDescent="0.2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</row>
    <row r="533" spans="1:32" ht="12.75" customHeight="1" x14ac:dyDescent="0.2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</row>
    <row r="534" spans="1:32" ht="12.75" customHeight="1" x14ac:dyDescent="0.2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</row>
    <row r="535" spans="1:32" ht="12.75" customHeight="1" x14ac:dyDescent="0.2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</row>
    <row r="536" spans="1:32" ht="12.75" customHeight="1" x14ac:dyDescent="0.2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</row>
    <row r="537" spans="1:32" ht="12.75" customHeight="1" x14ac:dyDescent="0.2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</row>
    <row r="538" spans="1:32" ht="12.75" customHeight="1" x14ac:dyDescent="0.2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</row>
    <row r="539" spans="1:32" ht="12.75" customHeight="1" x14ac:dyDescent="0.2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</row>
    <row r="540" spans="1:32" ht="12.75" customHeight="1" x14ac:dyDescent="0.2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</row>
    <row r="541" spans="1:32" ht="12.75" customHeight="1" x14ac:dyDescent="0.2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</row>
    <row r="542" spans="1:32" ht="12.75" customHeight="1" x14ac:dyDescent="0.2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</row>
    <row r="543" spans="1:32" ht="12.75" customHeight="1" x14ac:dyDescent="0.2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</row>
    <row r="544" spans="1:32" ht="12.75" customHeight="1" x14ac:dyDescent="0.2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</row>
    <row r="545" spans="1:32" ht="12.75" customHeight="1" x14ac:dyDescent="0.2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</row>
    <row r="546" spans="1:32" ht="12.75" customHeight="1" x14ac:dyDescent="0.2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</row>
    <row r="547" spans="1:32" ht="12.75" customHeight="1" x14ac:dyDescent="0.2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</row>
    <row r="548" spans="1:32" ht="12.75" customHeight="1" x14ac:dyDescent="0.2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</row>
    <row r="549" spans="1:32" ht="12.75" customHeight="1" x14ac:dyDescent="0.2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</row>
    <row r="550" spans="1:32" ht="12.75" customHeight="1" x14ac:dyDescent="0.2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</row>
    <row r="551" spans="1:32" ht="12.75" customHeight="1" x14ac:dyDescent="0.2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</row>
    <row r="552" spans="1:32" ht="12.75" customHeight="1" x14ac:dyDescent="0.2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</row>
    <row r="553" spans="1:32" ht="12.75" customHeight="1" x14ac:dyDescent="0.2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</row>
    <row r="554" spans="1:32" ht="12.75" customHeight="1" x14ac:dyDescent="0.2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</row>
    <row r="555" spans="1:32" ht="12.75" customHeight="1" x14ac:dyDescent="0.2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</row>
    <row r="556" spans="1:32" ht="12.75" customHeight="1" x14ac:dyDescent="0.2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</row>
    <row r="557" spans="1:32" ht="12.75" customHeight="1" x14ac:dyDescent="0.2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</row>
    <row r="558" spans="1:32" ht="12.75" customHeight="1" x14ac:dyDescent="0.2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</row>
    <row r="559" spans="1:32" ht="12.75" customHeight="1" x14ac:dyDescent="0.2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</row>
    <row r="560" spans="1:32" ht="12.75" customHeight="1" x14ac:dyDescent="0.2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</row>
    <row r="561" spans="1:32" ht="12.75" customHeight="1" x14ac:dyDescent="0.2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</row>
    <row r="562" spans="1:32" ht="12.75" customHeight="1" x14ac:dyDescent="0.2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</row>
    <row r="563" spans="1:32" ht="12.75" customHeight="1" x14ac:dyDescent="0.2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</row>
    <row r="564" spans="1:32" ht="12.75" customHeight="1" x14ac:dyDescent="0.2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</row>
    <row r="565" spans="1:32" ht="12.75" customHeight="1" x14ac:dyDescent="0.2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</row>
    <row r="566" spans="1:32" ht="12.75" customHeight="1" x14ac:dyDescent="0.2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</row>
    <row r="567" spans="1:32" ht="12.75" customHeight="1" x14ac:dyDescent="0.2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</row>
    <row r="568" spans="1:32" ht="12.75" customHeight="1" x14ac:dyDescent="0.2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</row>
    <row r="569" spans="1:32" ht="12.75" customHeight="1" x14ac:dyDescent="0.2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</row>
    <row r="570" spans="1:32" ht="12.75" customHeight="1" x14ac:dyDescent="0.2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</row>
    <row r="571" spans="1:32" ht="12.75" customHeight="1" x14ac:dyDescent="0.2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</row>
    <row r="572" spans="1:32" ht="12.75" customHeight="1" x14ac:dyDescent="0.2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</row>
    <row r="573" spans="1:32" ht="12.75" customHeight="1" x14ac:dyDescent="0.2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</row>
    <row r="574" spans="1:32" ht="12.75" customHeight="1" x14ac:dyDescent="0.2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</row>
    <row r="575" spans="1:32" ht="12.75" customHeight="1" x14ac:dyDescent="0.2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</row>
    <row r="576" spans="1:32" ht="12.75" customHeight="1" x14ac:dyDescent="0.2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</row>
    <row r="577" spans="1:32" ht="12.75" customHeight="1" x14ac:dyDescent="0.2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</row>
    <row r="578" spans="1:32" ht="12.75" customHeight="1" x14ac:dyDescent="0.2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</row>
    <row r="579" spans="1:32" ht="12.75" customHeight="1" x14ac:dyDescent="0.2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</row>
    <row r="580" spans="1:32" ht="12.75" customHeight="1" x14ac:dyDescent="0.2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</row>
    <row r="581" spans="1:32" ht="12.75" customHeight="1" x14ac:dyDescent="0.2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</row>
    <row r="582" spans="1:32" ht="12.75" customHeight="1" x14ac:dyDescent="0.2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</row>
    <row r="583" spans="1:32" ht="12.75" customHeight="1" x14ac:dyDescent="0.2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</row>
    <row r="584" spans="1:32" ht="12.75" customHeight="1" x14ac:dyDescent="0.2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</row>
    <row r="585" spans="1:32" ht="12.75" customHeight="1" x14ac:dyDescent="0.2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</row>
    <row r="586" spans="1:32" ht="12.75" customHeight="1" x14ac:dyDescent="0.2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</row>
    <row r="587" spans="1:32" ht="12.75" customHeight="1" x14ac:dyDescent="0.2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</row>
    <row r="588" spans="1:32" ht="12.75" customHeight="1" x14ac:dyDescent="0.2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</row>
    <row r="589" spans="1:32" ht="12.75" customHeight="1" x14ac:dyDescent="0.2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</row>
    <row r="590" spans="1:32" ht="12.75" customHeight="1" x14ac:dyDescent="0.2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</row>
    <row r="591" spans="1:32" ht="12.75" customHeight="1" x14ac:dyDescent="0.2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</row>
    <row r="592" spans="1:32" ht="12.75" customHeight="1" x14ac:dyDescent="0.2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</row>
    <row r="593" spans="1:32" ht="12.75" customHeight="1" x14ac:dyDescent="0.2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</row>
    <row r="594" spans="1:32" ht="12.75" customHeight="1" x14ac:dyDescent="0.2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</row>
    <row r="595" spans="1:32" ht="12.75" customHeight="1" x14ac:dyDescent="0.2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</row>
    <row r="596" spans="1:32" ht="12.75" customHeight="1" x14ac:dyDescent="0.2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</row>
    <row r="597" spans="1:32" ht="12.75" customHeight="1" x14ac:dyDescent="0.2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</row>
    <row r="598" spans="1:32" ht="12.75" customHeight="1" x14ac:dyDescent="0.2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</row>
    <row r="599" spans="1:32" ht="12.75" customHeight="1" x14ac:dyDescent="0.2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</row>
    <row r="600" spans="1:32" ht="12.75" customHeight="1" x14ac:dyDescent="0.2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</row>
    <row r="601" spans="1:32" ht="12.75" customHeight="1" x14ac:dyDescent="0.2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</row>
    <row r="602" spans="1:32" ht="12.75" customHeight="1" x14ac:dyDescent="0.2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</row>
    <row r="603" spans="1:32" ht="12.75" customHeight="1" x14ac:dyDescent="0.2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</row>
    <row r="604" spans="1:32" ht="12.75" customHeight="1" x14ac:dyDescent="0.2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</row>
    <row r="605" spans="1:32" ht="12.75" customHeight="1" x14ac:dyDescent="0.2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</row>
    <row r="606" spans="1:32" ht="12.75" customHeight="1" x14ac:dyDescent="0.2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</row>
    <row r="607" spans="1:32" ht="12.75" customHeight="1" x14ac:dyDescent="0.2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</row>
    <row r="608" spans="1:32" ht="12.75" customHeight="1" x14ac:dyDescent="0.2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</row>
    <row r="609" spans="1:32" ht="12.75" customHeight="1" x14ac:dyDescent="0.2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</row>
    <row r="610" spans="1:32" ht="12.75" customHeight="1" x14ac:dyDescent="0.2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</row>
    <row r="611" spans="1:32" ht="12.75" customHeight="1" x14ac:dyDescent="0.2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</row>
    <row r="612" spans="1:32" ht="12.75" customHeight="1" x14ac:dyDescent="0.2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</row>
    <row r="613" spans="1:32" ht="12.75" customHeight="1" x14ac:dyDescent="0.2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</row>
    <row r="614" spans="1:32" ht="12.75" customHeight="1" x14ac:dyDescent="0.2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</row>
    <row r="615" spans="1:32" ht="12.75" customHeight="1" x14ac:dyDescent="0.2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</row>
    <row r="616" spans="1:32" ht="12.75" customHeight="1" x14ac:dyDescent="0.2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</row>
    <row r="617" spans="1:32" ht="12.75" customHeight="1" x14ac:dyDescent="0.2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</row>
    <row r="618" spans="1:32" ht="12.75" customHeight="1" x14ac:dyDescent="0.2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</row>
    <row r="619" spans="1:32" ht="12.75" customHeight="1" x14ac:dyDescent="0.2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</row>
    <row r="620" spans="1:32" ht="12.75" customHeight="1" x14ac:dyDescent="0.2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</row>
    <row r="621" spans="1:32" ht="12.75" customHeight="1" x14ac:dyDescent="0.2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</row>
    <row r="622" spans="1:32" ht="12.75" customHeight="1" x14ac:dyDescent="0.2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</row>
    <row r="623" spans="1:32" ht="12.75" customHeight="1" x14ac:dyDescent="0.2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</row>
    <row r="624" spans="1:32" ht="12.75" customHeight="1" x14ac:dyDescent="0.2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</row>
    <row r="625" spans="1:32" ht="12.75" customHeight="1" x14ac:dyDescent="0.2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</row>
    <row r="626" spans="1:32" ht="12.75" customHeight="1" x14ac:dyDescent="0.2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</row>
    <row r="627" spans="1:32" ht="12.75" customHeight="1" x14ac:dyDescent="0.2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</row>
    <row r="628" spans="1:32" ht="12.75" customHeight="1" x14ac:dyDescent="0.2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</row>
    <row r="629" spans="1:32" ht="12.75" customHeight="1" x14ac:dyDescent="0.2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</row>
    <row r="630" spans="1:32" ht="12.75" customHeight="1" x14ac:dyDescent="0.2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</row>
    <row r="631" spans="1:32" ht="12.75" customHeight="1" x14ac:dyDescent="0.2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</row>
    <row r="632" spans="1:32" ht="12.75" customHeight="1" x14ac:dyDescent="0.2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</row>
    <row r="633" spans="1:32" ht="12.75" customHeight="1" x14ac:dyDescent="0.2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</row>
    <row r="634" spans="1:32" ht="12.75" customHeight="1" x14ac:dyDescent="0.2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</row>
    <row r="635" spans="1:32" ht="12.75" customHeight="1" x14ac:dyDescent="0.2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</row>
    <row r="636" spans="1:32" ht="12.75" customHeight="1" x14ac:dyDescent="0.2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</row>
    <row r="637" spans="1:32" ht="12.75" customHeight="1" x14ac:dyDescent="0.2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</row>
    <row r="638" spans="1:32" ht="12.75" customHeight="1" x14ac:dyDescent="0.2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</row>
    <row r="639" spans="1:32" ht="12.75" customHeight="1" x14ac:dyDescent="0.2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</row>
    <row r="640" spans="1:32" ht="12.75" customHeight="1" x14ac:dyDescent="0.2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</row>
    <row r="641" spans="1:32" ht="12.75" customHeight="1" x14ac:dyDescent="0.2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</row>
    <row r="642" spans="1:32" ht="12.75" customHeight="1" x14ac:dyDescent="0.2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</row>
    <row r="643" spans="1:32" ht="12.75" customHeight="1" x14ac:dyDescent="0.2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</row>
    <row r="644" spans="1:32" ht="12.75" customHeight="1" x14ac:dyDescent="0.2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</row>
    <row r="645" spans="1:32" ht="12.75" customHeight="1" x14ac:dyDescent="0.2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</row>
    <row r="646" spans="1:32" ht="12.75" customHeight="1" x14ac:dyDescent="0.2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</row>
    <row r="647" spans="1:32" ht="12.75" customHeight="1" x14ac:dyDescent="0.2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</row>
    <row r="648" spans="1:32" ht="12.75" customHeight="1" x14ac:dyDescent="0.2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</row>
    <row r="649" spans="1:32" ht="12.75" customHeight="1" x14ac:dyDescent="0.2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</row>
    <row r="650" spans="1:32" ht="12.75" customHeight="1" x14ac:dyDescent="0.2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</row>
    <row r="651" spans="1:32" ht="12.75" customHeight="1" x14ac:dyDescent="0.2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</row>
    <row r="652" spans="1:32" ht="12.75" customHeight="1" x14ac:dyDescent="0.2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</row>
    <row r="653" spans="1:32" ht="12.75" customHeight="1" x14ac:dyDescent="0.2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</row>
    <row r="654" spans="1:32" ht="12.75" customHeight="1" x14ac:dyDescent="0.2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</row>
    <row r="655" spans="1:32" ht="12.75" customHeight="1" x14ac:dyDescent="0.2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</row>
    <row r="656" spans="1:32" ht="12.75" customHeight="1" x14ac:dyDescent="0.2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</row>
    <row r="657" spans="1:32" ht="12.75" customHeight="1" x14ac:dyDescent="0.2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</row>
    <row r="658" spans="1:32" ht="12.75" customHeight="1" x14ac:dyDescent="0.2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</row>
    <row r="659" spans="1:32" ht="12.75" customHeight="1" x14ac:dyDescent="0.2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</row>
    <row r="660" spans="1:32" ht="12.75" customHeight="1" x14ac:dyDescent="0.2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</row>
    <row r="661" spans="1:32" ht="12.75" customHeight="1" x14ac:dyDescent="0.2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</row>
    <row r="662" spans="1:32" ht="12.75" customHeight="1" x14ac:dyDescent="0.2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</row>
    <row r="663" spans="1:32" ht="12.75" customHeight="1" x14ac:dyDescent="0.2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</row>
    <row r="664" spans="1:32" ht="12.75" customHeight="1" x14ac:dyDescent="0.2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</row>
    <row r="665" spans="1:32" ht="12.75" customHeight="1" x14ac:dyDescent="0.2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</row>
    <row r="666" spans="1:32" ht="12.75" customHeight="1" x14ac:dyDescent="0.2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</row>
    <row r="667" spans="1:32" ht="12.75" customHeight="1" x14ac:dyDescent="0.2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</row>
    <row r="668" spans="1:32" ht="12.75" customHeight="1" x14ac:dyDescent="0.2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</row>
    <row r="669" spans="1:32" ht="12.75" customHeight="1" x14ac:dyDescent="0.2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</row>
    <row r="670" spans="1:32" ht="12.75" customHeight="1" x14ac:dyDescent="0.2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</row>
    <row r="671" spans="1:32" ht="12.75" customHeight="1" x14ac:dyDescent="0.2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</row>
    <row r="672" spans="1:32" ht="12.75" customHeight="1" x14ac:dyDescent="0.2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</row>
    <row r="673" spans="1:32" ht="12.75" customHeight="1" x14ac:dyDescent="0.2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</row>
    <row r="674" spans="1:32" ht="12.75" customHeight="1" x14ac:dyDescent="0.2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</row>
    <row r="675" spans="1:32" ht="12.75" customHeight="1" x14ac:dyDescent="0.2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</row>
    <row r="676" spans="1:32" ht="12.75" customHeight="1" x14ac:dyDescent="0.2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</row>
    <row r="677" spans="1:32" ht="12.75" customHeight="1" x14ac:dyDescent="0.2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</row>
    <row r="678" spans="1:32" ht="12.75" customHeight="1" x14ac:dyDescent="0.2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</row>
    <row r="679" spans="1:32" ht="12.75" customHeight="1" x14ac:dyDescent="0.2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</row>
    <row r="680" spans="1:32" ht="12.75" customHeight="1" x14ac:dyDescent="0.2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</row>
    <row r="681" spans="1:32" ht="12.75" customHeight="1" x14ac:dyDescent="0.2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</row>
    <row r="682" spans="1:32" ht="12.75" customHeight="1" x14ac:dyDescent="0.2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</row>
    <row r="683" spans="1:32" ht="12.75" customHeight="1" x14ac:dyDescent="0.2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</row>
    <row r="684" spans="1:32" ht="12.75" customHeight="1" x14ac:dyDescent="0.2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</row>
    <row r="685" spans="1:32" ht="12.75" customHeight="1" x14ac:dyDescent="0.2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</row>
    <row r="686" spans="1:32" ht="12.75" customHeight="1" x14ac:dyDescent="0.2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</row>
    <row r="687" spans="1:32" ht="12.75" customHeight="1" x14ac:dyDescent="0.2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</row>
    <row r="688" spans="1:32" ht="12.75" customHeight="1" x14ac:dyDescent="0.2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</row>
    <row r="689" spans="1:32" ht="12.75" customHeight="1" x14ac:dyDescent="0.2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</row>
    <row r="690" spans="1:32" ht="12.75" customHeight="1" x14ac:dyDescent="0.2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</row>
    <row r="691" spans="1:32" ht="12.75" customHeight="1" x14ac:dyDescent="0.2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</row>
    <row r="692" spans="1:32" ht="12.75" customHeight="1" x14ac:dyDescent="0.2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</row>
    <row r="693" spans="1:32" ht="12.75" customHeight="1" x14ac:dyDescent="0.2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</row>
    <row r="694" spans="1:32" ht="12.75" customHeight="1" x14ac:dyDescent="0.2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</row>
    <row r="695" spans="1:32" ht="12.75" customHeight="1" x14ac:dyDescent="0.2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</row>
    <row r="696" spans="1:32" ht="12.75" customHeight="1" x14ac:dyDescent="0.2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</row>
    <row r="697" spans="1:32" ht="12.75" customHeight="1" x14ac:dyDescent="0.2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</row>
    <row r="698" spans="1:32" ht="12.75" customHeight="1" x14ac:dyDescent="0.2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</row>
    <row r="699" spans="1:32" ht="12.75" customHeight="1" x14ac:dyDescent="0.2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</row>
    <row r="700" spans="1:32" ht="12.75" customHeight="1" x14ac:dyDescent="0.2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</row>
    <row r="701" spans="1:32" ht="12.75" customHeight="1" x14ac:dyDescent="0.2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</row>
    <row r="702" spans="1:32" ht="12.75" customHeight="1" x14ac:dyDescent="0.2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</row>
    <row r="703" spans="1:32" ht="12.75" customHeight="1" x14ac:dyDescent="0.2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</row>
    <row r="704" spans="1:32" ht="12.75" customHeight="1" x14ac:dyDescent="0.2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</row>
    <row r="705" spans="1:32" ht="12.75" customHeight="1" x14ac:dyDescent="0.2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</row>
    <row r="706" spans="1:32" ht="12.75" customHeight="1" x14ac:dyDescent="0.2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</row>
    <row r="707" spans="1:32" ht="12.75" customHeight="1" x14ac:dyDescent="0.2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</row>
    <row r="708" spans="1:32" ht="12.75" customHeight="1" x14ac:dyDescent="0.2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</row>
    <row r="709" spans="1:32" ht="12.75" customHeight="1" x14ac:dyDescent="0.2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</row>
    <row r="710" spans="1:32" ht="12.75" customHeight="1" x14ac:dyDescent="0.2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</row>
    <row r="711" spans="1:32" ht="12.75" customHeight="1" x14ac:dyDescent="0.2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</row>
    <row r="712" spans="1:32" ht="12.75" customHeight="1" x14ac:dyDescent="0.2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</row>
    <row r="713" spans="1:32" ht="12.75" customHeight="1" x14ac:dyDescent="0.2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</row>
    <row r="714" spans="1:32" ht="12.75" customHeight="1" x14ac:dyDescent="0.2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</row>
    <row r="715" spans="1:32" ht="12.75" customHeight="1" x14ac:dyDescent="0.2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</row>
    <row r="716" spans="1:32" ht="12.75" customHeight="1" x14ac:dyDescent="0.2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</row>
    <row r="717" spans="1:32" ht="12.75" customHeight="1" x14ac:dyDescent="0.2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</row>
    <row r="718" spans="1:32" ht="12.75" customHeight="1" x14ac:dyDescent="0.2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</row>
    <row r="719" spans="1:32" ht="12.75" customHeight="1" x14ac:dyDescent="0.2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</row>
    <row r="720" spans="1:32" ht="12.75" customHeight="1" x14ac:dyDescent="0.2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</row>
    <row r="721" spans="1:32" ht="12.75" customHeight="1" x14ac:dyDescent="0.2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</row>
    <row r="722" spans="1:32" ht="12.75" customHeight="1" x14ac:dyDescent="0.2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</row>
    <row r="723" spans="1:32" ht="12.75" customHeight="1" x14ac:dyDescent="0.2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</row>
    <row r="724" spans="1:32" ht="12.75" customHeight="1" x14ac:dyDescent="0.2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</row>
    <row r="725" spans="1:32" ht="12.75" customHeight="1" x14ac:dyDescent="0.2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</row>
    <row r="726" spans="1:32" ht="12.75" customHeight="1" x14ac:dyDescent="0.2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</row>
    <row r="727" spans="1:32" ht="12.75" customHeight="1" x14ac:dyDescent="0.2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</row>
    <row r="728" spans="1:32" ht="12.75" customHeight="1" x14ac:dyDescent="0.2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</row>
    <row r="729" spans="1:32" ht="12.75" customHeight="1" x14ac:dyDescent="0.2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</row>
    <row r="730" spans="1:32" ht="12.75" customHeight="1" x14ac:dyDescent="0.2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</row>
    <row r="731" spans="1:32" ht="12.75" customHeight="1" x14ac:dyDescent="0.2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</row>
    <row r="732" spans="1:32" ht="12.75" customHeight="1" x14ac:dyDescent="0.2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</row>
    <row r="733" spans="1:32" ht="12.75" customHeight="1" x14ac:dyDescent="0.2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</row>
    <row r="734" spans="1:32" ht="12.75" customHeight="1" x14ac:dyDescent="0.2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</row>
    <row r="735" spans="1:32" ht="12.75" customHeight="1" x14ac:dyDescent="0.2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</row>
    <row r="736" spans="1:32" ht="12.75" customHeight="1" x14ac:dyDescent="0.2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</row>
    <row r="737" spans="1:32" ht="12.75" customHeight="1" x14ac:dyDescent="0.2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</row>
    <row r="738" spans="1:32" ht="12.75" customHeight="1" x14ac:dyDescent="0.2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</row>
    <row r="739" spans="1:32" ht="12.75" customHeight="1" x14ac:dyDescent="0.2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</row>
    <row r="740" spans="1:32" ht="12.75" customHeight="1" x14ac:dyDescent="0.2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</row>
    <row r="741" spans="1:32" ht="12.75" customHeight="1" x14ac:dyDescent="0.2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</row>
    <row r="742" spans="1:32" ht="12.75" customHeight="1" x14ac:dyDescent="0.2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</row>
    <row r="743" spans="1:32" ht="12.75" customHeight="1" x14ac:dyDescent="0.2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</row>
    <row r="744" spans="1:32" ht="12.75" customHeight="1" x14ac:dyDescent="0.2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</row>
    <row r="745" spans="1:32" ht="12.75" customHeight="1" x14ac:dyDescent="0.2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</row>
    <row r="746" spans="1:32" ht="12.75" customHeight="1" x14ac:dyDescent="0.2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</row>
    <row r="747" spans="1:32" ht="12.75" customHeight="1" x14ac:dyDescent="0.2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</row>
    <row r="748" spans="1:32" ht="12.75" customHeight="1" x14ac:dyDescent="0.2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</row>
    <row r="749" spans="1:32" ht="12.75" customHeight="1" x14ac:dyDescent="0.2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</row>
    <row r="750" spans="1:32" ht="12.75" customHeight="1" x14ac:dyDescent="0.2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</row>
    <row r="751" spans="1:32" ht="12.75" customHeight="1" x14ac:dyDescent="0.2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</row>
    <row r="752" spans="1:32" ht="12.75" customHeight="1" x14ac:dyDescent="0.2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</row>
    <row r="753" spans="1:32" ht="12.75" customHeight="1" x14ac:dyDescent="0.2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</row>
    <row r="754" spans="1:32" ht="12.75" customHeight="1" x14ac:dyDescent="0.2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</row>
    <row r="755" spans="1:32" ht="12.75" customHeight="1" x14ac:dyDescent="0.2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</row>
    <row r="756" spans="1:32" ht="12.75" customHeight="1" x14ac:dyDescent="0.2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</row>
    <row r="757" spans="1:32" ht="12.75" customHeight="1" x14ac:dyDescent="0.2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</row>
    <row r="758" spans="1:32" ht="12.75" customHeight="1" x14ac:dyDescent="0.2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</row>
    <row r="759" spans="1:32" ht="12.75" customHeight="1" x14ac:dyDescent="0.2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</row>
    <row r="760" spans="1:32" ht="12.75" customHeight="1" x14ac:dyDescent="0.2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</row>
    <row r="761" spans="1:32" ht="12.75" customHeight="1" x14ac:dyDescent="0.2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</row>
    <row r="762" spans="1:32" ht="12.75" customHeight="1" x14ac:dyDescent="0.2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</row>
    <row r="763" spans="1:32" ht="12.75" customHeight="1" x14ac:dyDescent="0.2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</row>
    <row r="764" spans="1:32" ht="12.75" customHeight="1" x14ac:dyDescent="0.2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</row>
    <row r="765" spans="1:32" ht="12.75" customHeight="1" x14ac:dyDescent="0.2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</row>
    <row r="766" spans="1:32" ht="12.75" customHeight="1" x14ac:dyDescent="0.2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</row>
    <row r="767" spans="1:32" ht="12.75" customHeight="1" x14ac:dyDescent="0.2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</row>
    <row r="768" spans="1:32" ht="12.75" customHeight="1" x14ac:dyDescent="0.2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</row>
    <row r="769" spans="1:32" ht="12.75" customHeight="1" x14ac:dyDescent="0.2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</row>
    <row r="770" spans="1:32" ht="12.75" customHeight="1" x14ac:dyDescent="0.2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</row>
    <row r="771" spans="1:32" ht="12.75" customHeight="1" x14ac:dyDescent="0.2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</row>
    <row r="772" spans="1:32" ht="12.75" customHeight="1" x14ac:dyDescent="0.2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</row>
    <row r="773" spans="1:32" ht="12.75" customHeight="1" x14ac:dyDescent="0.2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</row>
    <row r="774" spans="1:32" ht="12.75" customHeight="1" x14ac:dyDescent="0.2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</row>
    <row r="775" spans="1:32" ht="12.75" customHeight="1" x14ac:dyDescent="0.2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</row>
    <row r="776" spans="1:32" ht="12.75" customHeight="1" x14ac:dyDescent="0.2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</row>
    <row r="777" spans="1:32" ht="12.75" customHeight="1" x14ac:dyDescent="0.2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</row>
    <row r="778" spans="1:32" ht="12.75" customHeight="1" x14ac:dyDescent="0.2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</row>
    <row r="779" spans="1:32" ht="12.75" customHeight="1" x14ac:dyDescent="0.2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</row>
    <row r="780" spans="1:32" ht="12.75" customHeight="1" x14ac:dyDescent="0.2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</row>
    <row r="781" spans="1:32" ht="12.75" customHeight="1" x14ac:dyDescent="0.2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</row>
    <row r="782" spans="1:32" ht="12.75" customHeight="1" x14ac:dyDescent="0.2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</row>
    <row r="783" spans="1:32" ht="12.75" customHeight="1" x14ac:dyDescent="0.2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</row>
    <row r="784" spans="1:32" ht="12.75" customHeight="1" x14ac:dyDescent="0.2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</row>
    <row r="785" spans="1:32" ht="12.75" customHeight="1" x14ac:dyDescent="0.2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</row>
    <row r="786" spans="1:32" ht="12.75" customHeight="1" x14ac:dyDescent="0.2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</row>
    <row r="787" spans="1:32" ht="12.75" customHeight="1" x14ac:dyDescent="0.2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</row>
    <row r="788" spans="1:32" ht="12.75" customHeight="1" x14ac:dyDescent="0.2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</row>
    <row r="789" spans="1:32" ht="12.75" customHeight="1" x14ac:dyDescent="0.2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</row>
    <row r="790" spans="1:32" ht="12.75" customHeight="1" x14ac:dyDescent="0.2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</row>
    <row r="791" spans="1:32" ht="12.75" customHeight="1" x14ac:dyDescent="0.2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</row>
    <row r="792" spans="1:32" ht="12.75" customHeight="1" x14ac:dyDescent="0.2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</row>
    <row r="793" spans="1:32" ht="12.75" customHeight="1" x14ac:dyDescent="0.2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</row>
    <row r="794" spans="1:32" ht="12.75" customHeight="1" x14ac:dyDescent="0.2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</row>
    <row r="795" spans="1:32" ht="12.75" customHeight="1" x14ac:dyDescent="0.2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</row>
    <row r="796" spans="1:32" ht="12.75" customHeight="1" x14ac:dyDescent="0.2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</row>
    <row r="797" spans="1:32" ht="12.75" customHeight="1" x14ac:dyDescent="0.2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</row>
    <row r="798" spans="1:32" ht="12.75" customHeight="1" x14ac:dyDescent="0.2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</row>
    <row r="799" spans="1:32" ht="12.75" customHeight="1" x14ac:dyDescent="0.2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</row>
    <row r="800" spans="1:32" ht="12.75" customHeight="1" x14ac:dyDescent="0.2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</row>
    <row r="801" spans="1:32" ht="12.75" customHeight="1" x14ac:dyDescent="0.2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</row>
    <row r="802" spans="1:32" ht="12.75" customHeight="1" x14ac:dyDescent="0.2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</row>
    <row r="803" spans="1:32" ht="12.75" customHeight="1" x14ac:dyDescent="0.2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</row>
    <row r="804" spans="1:32" ht="12.75" customHeight="1" x14ac:dyDescent="0.2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</row>
    <row r="805" spans="1:32" ht="12.75" customHeight="1" x14ac:dyDescent="0.2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</row>
    <row r="806" spans="1:32" ht="12.75" customHeight="1" x14ac:dyDescent="0.2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</row>
    <row r="807" spans="1:32" ht="12.75" customHeight="1" x14ac:dyDescent="0.2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</row>
    <row r="808" spans="1:32" ht="12.75" customHeight="1" x14ac:dyDescent="0.2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</row>
    <row r="809" spans="1:32" ht="12.75" customHeight="1" x14ac:dyDescent="0.2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</row>
    <row r="810" spans="1:32" ht="12.75" customHeight="1" x14ac:dyDescent="0.2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</row>
    <row r="811" spans="1:32" ht="12.75" customHeight="1" x14ac:dyDescent="0.2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</row>
    <row r="812" spans="1:32" ht="12.75" customHeight="1" x14ac:dyDescent="0.2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</row>
    <row r="813" spans="1:32" ht="12.75" customHeight="1" x14ac:dyDescent="0.2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</row>
    <row r="814" spans="1:32" ht="12.75" customHeight="1" x14ac:dyDescent="0.2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</row>
    <row r="815" spans="1:32" ht="12.75" customHeight="1" x14ac:dyDescent="0.2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</row>
    <row r="816" spans="1:32" ht="12.75" customHeight="1" x14ac:dyDescent="0.2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</row>
    <row r="817" spans="1:32" ht="12.75" customHeight="1" x14ac:dyDescent="0.2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</row>
    <row r="818" spans="1:32" ht="12.75" customHeight="1" x14ac:dyDescent="0.2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</row>
    <row r="819" spans="1:32" ht="12.75" customHeight="1" x14ac:dyDescent="0.2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</row>
    <row r="820" spans="1:32" ht="12.75" customHeight="1" x14ac:dyDescent="0.2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</row>
    <row r="821" spans="1:32" ht="12.75" customHeight="1" x14ac:dyDescent="0.2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</row>
    <row r="822" spans="1:32" ht="12.75" customHeight="1" x14ac:dyDescent="0.2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</row>
    <row r="823" spans="1:32" ht="12.75" customHeight="1" x14ac:dyDescent="0.2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</row>
    <row r="824" spans="1:32" ht="12.75" customHeight="1" x14ac:dyDescent="0.2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</row>
    <row r="825" spans="1:32" ht="12.75" customHeight="1" x14ac:dyDescent="0.2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</row>
    <row r="826" spans="1:32" ht="12.75" customHeight="1" x14ac:dyDescent="0.2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</row>
    <row r="827" spans="1:32" ht="12.75" customHeight="1" x14ac:dyDescent="0.2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</row>
    <row r="828" spans="1:32" ht="12.75" customHeight="1" x14ac:dyDescent="0.2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</row>
    <row r="829" spans="1:32" ht="12.75" customHeight="1" x14ac:dyDescent="0.2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</row>
    <row r="830" spans="1:32" ht="12.75" customHeight="1" x14ac:dyDescent="0.2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</row>
    <row r="831" spans="1:32" ht="12.75" customHeight="1" x14ac:dyDescent="0.2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</row>
    <row r="832" spans="1:32" ht="12.75" customHeight="1" x14ac:dyDescent="0.2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</row>
    <row r="833" spans="1:32" ht="12.75" customHeight="1" x14ac:dyDescent="0.2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</row>
    <row r="834" spans="1:32" ht="12.75" customHeight="1" x14ac:dyDescent="0.2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</row>
    <row r="835" spans="1:32" ht="12.75" customHeight="1" x14ac:dyDescent="0.2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</row>
    <row r="836" spans="1:32" ht="12.75" customHeight="1" x14ac:dyDescent="0.2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</row>
    <row r="837" spans="1:32" ht="12.75" customHeight="1" x14ac:dyDescent="0.2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</row>
    <row r="838" spans="1:32" ht="12.75" customHeight="1" x14ac:dyDescent="0.2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</row>
    <row r="839" spans="1:32" ht="12.75" customHeight="1" x14ac:dyDescent="0.2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</row>
    <row r="840" spans="1:32" ht="12.75" customHeight="1" x14ac:dyDescent="0.2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</row>
    <row r="841" spans="1:32" ht="12.75" customHeight="1" x14ac:dyDescent="0.2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</row>
    <row r="842" spans="1:32" ht="12.75" customHeight="1" x14ac:dyDescent="0.2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</row>
    <row r="843" spans="1:32" ht="12.75" customHeight="1" x14ac:dyDescent="0.2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</row>
    <row r="844" spans="1:32" ht="12.75" customHeight="1" x14ac:dyDescent="0.2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</row>
    <row r="845" spans="1:32" ht="12.75" customHeight="1" x14ac:dyDescent="0.2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</row>
    <row r="846" spans="1:32" ht="12.75" customHeight="1" x14ac:dyDescent="0.2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</row>
    <row r="847" spans="1:32" ht="12.75" customHeight="1" x14ac:dyDescent="0.2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</row>
    <row r="848" spans="1:32" ht="12.75" customHeight="1" x14ac:dyDescent="0.2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</row>
    <row r="849" spans="1:32" ht="12.75" customHeight="1" x14ac:dyDescent="0.2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</row>
    <row r="850" spans="1:32" ht="12.75" customHeight="1" x14ac:dyDescent="0.2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</row>
    <row r="851" spans="1:32" ht="12.75" customHeight="1" x14ac:dyDescent="0.2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</row>
    <row r="852" spans="1:32" ht="12.75" customHeight="1" x14ac:dyDescent="0.2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</row>
    <row r="853" spans="1:32" ht="12.75" customHeight="1" x14ac:dyDescent="0.2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</row>
    <row r="854" spans="1:32" ht="12.75" customHeight="1" x14ac:dyDescent="0.2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</row>
    <row r="855" spans="1:32" ht="12.75" customHeight="1" x14ac:dyDescent="0.2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</row>
    <row r="856" spans="1:32" ht="12.75" customHeight="1" x14ac:dyDescent="0.2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</row>
    <row r="857" spans="1:32" ht="12.75" customHeight="1" x14ac:dyDescent="0.2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</row>
    <row r="858" spans="1:32" ht="12.75" customHeight="1" x14ac:dyDescent="0.2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</row>
    <row r="859" spans="1:32" ht="12.75" customHeight="1" x14ac:dyDescent="0.2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</row>
    <row r="860" spans="1:32" ht="12.75" customHeight="1" x14ac:dyDescent="0.2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</row>
    <row r="861" spans="1:32" ht="12.75" customHeight="1" x14ac:dyDescent="0.2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</row>
    <row r="862" spans="1:32" ht="12.75" customHeight="1" x14ac:dyDescent="0.2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</row>
    <row r="863" spans="1:32" ht="12.75" customHeight="1" x14ac:dyDescent="0.2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</row>
    <row r="864" spans="1:32" ht="12.75" customHeight="1" x14ac:dyDescent="0.2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</row>
    <row r="865" spans="1:32" ht="12.75" customHeight="1" x14ac:dyDescent="0.2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</row>
    <row r="866" spans="1:32" ht="12.75" customHeight="1" x14ac:dyDescent="0.2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</row>
    <row r="867" spans="1:32" ht="12.75" customHeight="1" x14ac:dyDescent="0.2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</row>
    <row r="868" spans="1:32" ht="12.75" customHeight="1" x14ac:dyDescent="0.2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</row>
    <row r="869" spans="1:32" ht="12.75" customHeight="1" x14ac:dyDescent="0.2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</row>
    <row r="870" spans="1:32" ht="12.75" customHeight="1" x14ac:dyDescent="0.2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</row>
    <row r="871" spans="1:32" ht="12.75" customHeight="1" x14ac:dyDescent="0.2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</row>
    <row r="872" spans="1:32" ht="12.75" customHeight="1" x14ac:dyDescent="0.2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</row>
    <row r="873" spans="1:32" ht="12.75" customHeight="1" x14ac:dyDescent="0.2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</row>
    <row r="874" spans="1:32" ht="12.75" customHeight="1" x14ac:dyDescent="0.2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</row>
    <row r="875" spans="1:32" ht="12.75" customHeight="1" x14ac:dyDescent="0.2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</row>
    <row r="876" spans="1:32" ht="12.75" customHeight="1" x14ac:dyDescent="0.2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</row>
    <row r="877" spans="1:32" ht="12.75" customHeight="1" x14ac:dyDescent="0.2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</row>
    <row r="878" spans="1:32" ht="12.75" customHeight="1" x14ac:dyDescent="0.2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</row>
    <row r="879" spans="1:32" ht="12.75" customHeight="1" x14ac:dyDescent="0.2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</row>
    <row r="880" spans="1:32" ht="12.75" customHeight="1" x14ac:dyDescent="0.2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</row>
    <row r="881" spans="1:32" ht="12.75" customHeight="1" x14ac:dyDescent="0.2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</row>
    <row r="882" spans="1:32" ht="12.75" customHeight="1" x14ac:dyDescent="0.2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</row>
    <row r="883" spans="1:32" ht="12.75" customHeight="1" x14ac:dyDescent="0.2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</row>
    <row r="884" spans="1:32" ht="12.75" customHeight="1" x14ac:dyDescent="0.2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</row>
    <row r="885" spans="1:32" ht="12.75" customHeight="1" x14ac:dyDescent="0.2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</row>
    <row r="886" spans="1:32" ht="12.75" customHeight="1" x14ac:dyDescent="0.2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</row>
    <row r="887" spans="1:32" ht="12.75" customHeight="1" x14ac:dyDescent="0.2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</row>
    <row r="888" spans="1:32" ht="12.75" customHeight="1" x14ac:dyDescent="0.2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</row>
    <row r="889" spans="1:32" ht="12.75" customHeight="1" x14ac:dyDescent="0.2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</row>
    <row r="890" spans="1:32" ht="12.75" customHeight="1" x14ac:dyDescent="0.2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</row>
    <row r="891" spans="1:32" ht="12.75" customHeight="1" x14ac:dyDescent="0.2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</row>
    <row r="892" spans="1:32" ht="12.75" customHeight="1" x14ac:dyDescent="0.2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</row>
    <row r="893" spans="1:32" ht="12.75" customHeight="1" x14ac:dyDescent="0.2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</row>
    <row r="894" spans="1:32" ht="12.75" customHeight="1" x14ac:dyDescent="0.2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</row>
    <row r="895" spans="1:32" ht="12.75" customHeight="1" x14ac:dyDescent="0.2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</row>
    <row r="896" spans="1:32" ht="12.75" customHeight="1" x14ac:dyDescent="0.2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</row>
    <row r="897" spans="1:32" ht="12.75" customHeight="1" x14ac:dyDescent="0.2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</row>
    <row r="898" spans="1:32" ht="12.75" customHeight="1" x14ac:dyDescent="0.2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</row>
    <row r="899" spans="1:32" ht="12.75" customHeight="1" x14ac:dyDescent="0.2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</row>
    <row r="900" spans="1:32" ht="12.75" customHeight="1" x14ac:dyDescent="0.2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</row>
    <row r="901" spans="1:32" ht="12.75" customHeight="1" x14ac:dyDescent="0.2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</row>
    <row r="902" spans="1:32" ht="12.75" customHeight="1" x14ac:dyDescent="0.2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</row>
    <row r="903" spans="1:32" ht="12.75" customHeight="1" x14ac:dyDescent="0.2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</row>
    <row r="904" spans="1:32" ht="12.75" customHeight="1" x14ac:dyDescent="0.2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</row>
    <row r="905" spans="1:32" ht="12.75" customHeight="1" x14ac:dyDescent="0.2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</row>
    <row r="906" spans="1:32" ht="12.75" customHeight="1" x14ac:dyDescent="0.2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</row>
    <row r="907" spans="1:32" ht="12.75" customHeight="1" x14ac:dyDescent="0.2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</row>
    <row r="908" spans="1:32" ht="12.75" customHeight="1" x14ac:dyDescent="0.2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</row>
    <row r="909" spans="1:32" ht="12.75" customHeight="1" x14ac:dyDescent="0.2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</row>
    <row r="910" spans="1:32" ht="12.75" customHeight="1" x14ac:dyDescent="0.2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</row>
    <row r="911" spans="1:32" ht="12.75" customHeight="1" x14ac:dyDescent="0.2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</row>
    <row r="912" spans="1:32" ht="12.75" customHeight="1" x14ac:dyDescent="0.2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</row>
    <row r="913" spans="1:32" ht="12.75" customHeight="1" x14ac:dyDescent="0.2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</row>
    <row r="914" spans="1:32" ht="12.75" customHeight="1" x14ac:dyDescent="0.2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</row>
    <row r="915" spans="1:32" ht="12.75" customHeight="1" x14ac:dyDescent="0.2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</row>
    <row r="916" spans="1:32" ht="12.75" customHeight="1" x14ac:dyDescent="0.2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</row>
    <row r="917" spans="1:32" ht="12.75" customHeight="1" x14ac:dyDescent="0.2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</row>
    <row r="918" spans="1:32" ht="12.75" customHeight="1" x14ac:dyDescent="0.2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</row>
    <row r="919" spans="1:32" ht="12.75" customHeight="1" x14ac:dyDescent="0.2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</row>
    <row r="920" spans="1:32" ht="12.75" customHeight="1" x14ac:dyDescent="0.2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</row>
    <row r="921" spans="1:32" ht="12.75" customHeight="1" x14ac:dyDescent="0.2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</row>
    <row r="922" spans="1:32" ht="12.75" customHeight="1" x14ac:dyDescent="0.2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</row>
    <row r="923" spans="1:32" ht="12.75" customHeight="1" x14ac:dyDescent="0.2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</row>
    <row r="924" spans="1:32" ht="12.75" customHeight="1" x14ac:dyDescent="0.2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</row>
    <row r="925" spans="1:32" ht="12.75" customHeight="1" x14ac:dyDescent="0.2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</row>
    <row r="926" spans="1:32" ht="12.75" customHeight="1" x14ac:dyDescent="0.2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</row>
    <row r="927" spans="1:32" ht="12.75" customHeight="1" x14ac:dyDescent="0.2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</row>
    <row r="928" spans="1:32" ht="12.75" customHeight="1" x14ac:dyDescent="0.2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</row>
    <row r="929" spans="1:32" ht="12.75" customHeight="1" x14ac:dyDescent="0.2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</row>
    <row r="930" spans="1:32" ht="12.75" customHeight="1" x14ac:dyDescent="0.2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</row>
    <row r="931" spans="1:32" ht="12.75" customHeight="1" x14ac:dyDescent="0.2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</row>
    <row r="932" spans="1:32" ht="12.75" customHeight="1" x14ac:dyDescent="0.2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</row>
    <row r="933" spans="1:32" ht="12.75" customHeight="1" x14ac:dyDescent="0.2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</row>
    <row r="934" spans="1:32" ht="12.75" customHeight="1" x14ac:dyDescent="0.2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</row>
    <row r="935" spans="1:32" ht="12.75" customHeight="1" x14ac:dyDescent="0.2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</row>
    <row r="936" spans="1:32" ht="12.75" customHeight="1" x14ac:dyDescent="0.2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</row>
    <row r="937" spans="1:32" ht="12.75" customHeight="1" x14ac:dyDescent="0.2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</row>
    <row r="938" spans="1:32" ht="12.75" customHeight="1" x14ac:dyDescent="0.2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</row>
    <row r="939" spans="1:32" ht="12.75" customHeight="1" x14ac:dyDescent="0.2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</row>
    <row r="940" spans="1:32" ht="12.75" customHeight="1" x14ac:dyDescent="0.2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</row>
    <row r="941" spans="1:32" ht="12.75" customHeight="1" x14ac:dyDescent="0.2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</row>
    <row r="942" spans="1:32" ht="12.75" customHeight="1" x14ac:dyDescent="0.2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</row>
    <row r="943" spans="1:32" ht="12.75" customHeight="1" x14ac:dyDescent="0.2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</row>
    <row r="944" spans="1:32" ht="12.75" customHeight="1" x14ac:dyDescent="0.2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</row>
    <row r="945" spans="1:32" ht="12.75" customHeight="1" x14ac:dyDescent="0.2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</row>
    <row r="946" spans="1:32" ht="12.75" customHeight="1" x14ac:dyDescent="0.2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</row>
    <row r="947" spans="1:32" ht="12.75" customHeight="1" x14ac:dyDescent="0.2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</row>
    <row r="948" spans="1:32" ht="12.75" customHeight="1" x14ac:dyDescent="0.2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</row>
    <row r="949" spans="1:32" ht="12.75" customHeight="1" x14ac:dyDescent="0.2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</row>
    <row r="950" spans="1:32" ht="12.75" customHeight="1" x14ac:dyDescent="0.2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</row>
    <row r="951" spans="1:32" ht="12.75" customHeight="1" x14ac:dyDescent="0.2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</row>
    <row r="952" spans="1:32" ht="12.75" customHeight="1" x14ac:dyDescent="0.2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</row>
    <row r="953" spans="1:32" ht="12.75" customHeight="1" x14ac:dyDescent="0.2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</row>
    <row r="954" spans="1:32" ht="12.75" customHeight="1" x14ac:dyDescent="0.2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</row>
    <row r="955" spans="1:32" ht="12.75" customHeight="1" x14ac:dyDescent="0.2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</row>
    <row r="956" spans="1:32" ht="12.75" customHeight="1" x14ac:dyDescent="0.2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</row>
    <row r="957" spans="1:32" ht="12.75" customHeight="1" x14ac:dyDescent="0.2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</row>
    <row r="958" spans="1:32" ht="12.75" customHeight="1" x14ac:dyDescent="0.2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</row>
    <row r="959" spans="1:32" ht="12.75" customHeight="1" x14ac:dyDescent="0.2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</row>
    <row r="960" spans="1:32" ht="12.75" customHeight="1" x14ac:dyDescent="0.2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</row>
    <row r="961" spans="1:32" ht="12.75" customHeight="1" x14ac:dyDescent="0.2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</row>
    <row r="962" spans="1:32" ht="12.75" customHeight="1" x14ac:dyDescent="0.2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</row>
    <row r="963" spans="1:32" ht="12.75" customHeight="1" x14ac:dyDescent="0.2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</row>
    <row r="964" spans="1:32" ht="12.75" customHeight="1" x14ac:dyDescent="0.2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</row>
    <row r="965" spans="1:32" ht="12.75" customHeight="1" x14ac:dyDescent="0.2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</row>
    <row r="966" spans="1:32" ht="12.75" customHeight="1" x14ac:dyDescent="0.2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</row>
    <row r="967" spans="1:32" ht="12.75" customHeight="1" x14ac:dyDescent="0.2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</row>
    <row r="968" spans="1:32" ht="12.75" customHeight="1" x14ac:dyDescent="0.2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</row>
    <row r="969" spans="1:32" ht="12.75" customHeight="1" x14ac:dyDescent="0.2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</row>
    <row r="970" spans="1:32" ht="12.75" customHeight="1" x14ac:dyDescent="0.2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</row>
    <row r="971" spans="1:32" ht="12.75" customHeight="1" x14ac:dyDescent="0.2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</row>
    <row r="972" spans="1:32" ht="12.75" customHeight="1" x14ac:dyDescent="0.2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</row>
    <row r="973" spans="1:32" ht="12.75" customHeight="1" x14ac:dyDescent="0.2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</row>
    <row r="974" spans="1:32" ht="12.75" customHeight="1" x14ac:dyDescent="0.2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</row>
    <row r="975" spans="1:32" ht="12.75" customHeight="1" x14ac:dyDescent="0.2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</row>
    <row r="976" spans="1:32" ht="12.75" customHeight="1" x14ac:dyDescent="0.2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</row>
    <row r="977" spans="1:32" ht="12.75" customHeight="1" x14ac:dyDescent="0.2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</row>
    <row r="978" spans="1:32" ht="12.75" customHeight="1" x14ac:dyDescent="0.2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</row>
    <row r="979" spans="1:32" ht="12.75" customHeight="1" x14ac:dyDescent="0.2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</row>
    <row r="980" spans="1:32" ht="12.75" customHeight="1" x14ac:dyDescent="0.2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</row>
    <row r="981" spans="1:32" ht="12.75" customHeight="1" x14ac:dyDescent="0.2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</row>
    <row r="982" spans="1:32" ht="12.75" customHeight="1" x14ac:dyDescent="0.2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</row>
    <row r="983" spans="1:32" ht="12.75" customHeight="1" x14ac:dyDescent="0.2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</row>
    <row r="984" spans="1:32" ht="12.75" customHeight="1" x14ac:dyDescent="0.2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</row>
    <row r="985" spans="1:32" ht="12.75" customHeight="1" x14ac:dyDescent="0.2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</row>
    <row r="986" spans="1:32" ht="12.75" customHeight="1" x14ac:dyDescent="0.2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</row>
    <row r="987" spans="1:32" ht="12.75" customHeight="1" x14ac:dyDescent="0.2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</row>
    <row r="988" spans="1:32" ht="12.75" customHeight="1" x14ac:dyDescent="0.2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</row>
    <row r="989" spans="1:32" ht="12.75" customHeight="1" x14ac:dyDescent="0.2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</row>
    <row r="990" spans="1:32" ht="12.75" customHeight="1" x14ac:dyDescent="0.2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</row>
    <row r="991" spans="1:32" ht="12.75" customHeight="1" x14ac:dyDescent="0.2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</row>
    <row r="992" spans="1:32" ht="12.75" customHeight="1" x14ac:dyDescent="0.2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</row>
    <row r="993" spans="1:32" ht="12.75" customHeight="1" x14ac:dyDescent="0.2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</row>
    <row r="994" spans="1:32" ht="12.75" customHeight="1" x14ac:dyDescent="0.2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</row>
    <row r="995" spans="1:32" ht="12.75" customHeight="1" x14ac:dyDescent="0.2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</row>
    <row r="996" spans="1:32" ht="12.75" customHeight="1" x14ac:dyDescent="0.2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</row>
    <row r="997" spans="1:32" ht="12.75" customHeight="1" x14ac:dyDescent="0.2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</row>
    <row r="998" spans="1:32" ht="12.75" customHeight="1" x14ac:dyDescent="0.2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</row>
    <row r="999" spans="1:32" ht="12.75" customHeight="1" x14ac:dyDescent="0.2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</row>
    <row r="1000" spans="1:32" ht="12.75" customHeight="1" x14ac:dyDescent="0.2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  <c r="AD1000" s="62"/>
      <c r="AE1000" s="62"/>
      <c r="AF1000" s="62"/>
    </row>
  </sheetData>
  <mergeCells count="163">
    <mergeCell ref="R49:S49"/>
    <mergeCell ref="R50:S50"/>
    <mergeCell ref="R48:S48"/>
    <mergeCell ref="R51:S51"/>
    <mergeCell ref="R52:S52"/>
    <mergeCell ref="P51:Q51"/>
    <mergeCell ref="R60:S60"/>
    <mergeCell ref="R61:S61"/>
    <mergeCell ref="R53:S53"/>
    <mergeCell ref="R57:S57"/>
    <mergeCell ref="R55:S55"/>
    <mergeCell ref="R56:S56"/>
    <mergeCell ref="R54:S54"/>
    <mergeCell ref="R58:S58"/>
    <mergeCell ref="R59:S59"/>
    <mergeCell ref="R26:S26"/>
    <mergeCell ref="R27:S27"/>
    <mergeCell ref="R25:S25"/>
    <mergeCell ref="R28:S28"/>
    <mergeCell ref="R29:S29"/>
    <mergeCell ref="R30:S30"/>
    <mergeCell ref="R43:S43"/>
    <mergeCell ref="R44:S44"/>
    <mergeCell ref="R45:S45"/>
    <mergeCell ref="K64:T69"/>
    <mergeCell ref="N79:S79"/>
    <mergeCell ref="K72:T77"/>
    <mergeCell ref="J83:S83"/>
    <mergeCell ref="J87:S87"/>
    <mergeCell ref="N61:O61"/>
    <mergeCell ref="N60:O60"/>
    <mergeCell ref="K60:L60"/>
    <mergeCell ref="K58:L58"/>
    <mergeCell ref="K59:L59"/>
    <mergeCell ref="J79:M79"/>
    <mergeCell ref="P52:Q52"/>
    <mergeCell ref="N52:O52"/>
    <mergeCell ref="K50:L50"/>
    <mergeCell ref="K51:L51"/>
    <mergeCell ref="K49:L49"/>
    <mergeCell ref="K52:L52"/>
    <mergeCell ref="K53:L53"/>
    <mergeCell ref="N57:O57"/>
    <mergeCell ref="N58:O58"/>
    <mergeCell ref="P56:Q56"/>
    <mergeCell ref="N56:O56"/>
    <mergeCell ref="N54:O54"/>
    <mergeCell ref="N53:O53"/>
    <mergeCell ref="K57:L57"/>
    <mergeCell ref="N50:O50"/>
    <mergeCell ref="N51:O51"/>
    <mergeCell ref="N49:O49"/>
    <mergeCell ref="P50:Q50"/>
    <mergeCell ref="P49:Q49"/>
    <mergeCell ref="P53:Q53"/>
    <mergeCell ref="P54:Q54"/>
    <mergeCell ref="N55:O55"/>
    <mergeCell ref="P55:Q55"/>
    <mergeCell ref="K55:L55"/>
    <mergeCell ref="K56:L56"/>
    <mergeCell ref="K54:L54"/>
    <mergeCell ref="P57:Q57"/>
    <mergeCell ref="P61:Q61"/>
    <mergeCell ref="P59:Q59"/>
    <mergeCell ref="P60:Q60"/>
    <mergeCell ref="P58:Q58"/>
    <mergeCell ref="N59:O59"/>
    <mergeCell ref="K61:L61"/>
    <mergeCell ref="K20:L20"/>
    <mergeCell ref="K21:L21"/>
    <mergeCell ref="K22:L22"/>
    <mergeCell ref="K23:L23"/>
    <mergeCell ref="K24:L24"/>
    <mergeCell ref="K25:L25"/>
    <mergeCell ref="K26:L26"/>
    <mergeCell ref="K27:L27"/>
    <mergeCell ref="M26:N26"/>
    <mergeCell ref="M27:N27"/>
    <mergeCell ref="M20:N20"/>
    <mergeCell ref="M21:N21"/>
    <mergeCell ref="M22:N22"/>
    <mergeCell ref="M23:N23"/>
    <mergeCell ref="M24:N24"/>
    <mergeCell ref="M25:N25"/>
    <mergeCell ref="I2:T2"/>
    <mergeCell ref="I4:T4"/>
    <mergeCell ref="S3:T3"/>
    <mergeCell ref="K15:L15"/>
    <mergeCell ref="K14:L14"/>
    <mergeCell ref="K17:L17"/>
    <mergeCell ref="K16:L16"/>
    <mergeCell ref="K18:L18"/>
    <mergeCell ref="K19:L19"/>
    <mergeCell ref="R14:S14"/>
    <mergeCell ref="R13:S13"/>
    <mergeCell ref="M19:N19"/>
    <mergeCell ref="M16:N16"/>
    <mergeCell ref="M17:N17"/>
    <mergeCell ref="M18:N18"/>
    <mergeCell ref="K48:L48"/>
    <mergeCell ref="N44:O44"/>
    <mergeCell ref="P44:Q44"/>
    <mergeCell ref="N45:O45"/>
    <mergeCell ref="P45:Q45"/>
    <mergeCell ref="N47:O47"/>
    <mergeCell ref="P47:Q47"/>
    <mergeCell ref="N46:O46"/>
    <mergeCell ref="P46:Q46"/>
    <mergeCell ref="K45:L45"/>
    <mergeCell ref="N48:O48"/>
    <mergeCell ref="P48:Q48"/>
    <mergeCell ref="R32:S32"/>
    <mergeCell ref="R40:S41"/>
    <mergeCell ref="R42:S42"/>
    <mergeCell ref="P42:Q42"/>
    <mergeCell ref="R31:S31"/>
    <mergeCell ref="K44:L44"/>
    <mergeCell ref="K43:L43"/>
    <mergeCell ref="K46:L46"/>
    <mergeCell ref="K47:L47"/>
    <mergeCell ref="N42:O42"/>
    <mergeCell ref="N43:O43"/>
    <mergeCell ref="M40:Q40"/>
    <mergeCell ref="I38:T38"/>
    <mergeCell ref="K40:L41"/>
    <mergeCell ref="I34:T34"/>
    <mergeCell ref="J40:J41"/>
    <mergeCell ref="K42:L42"/>
    <mergeCell ref="N41:O41"/>
    <mergeCell ref="P41:Q41"/>
    <mergeCell ref="P43:Q43"/>
    <mergeCell ref="R46:S46"/>
    <mergeCell ref="R47:S47"/>
    <mergeCell ref="R16:S16"/>
    <mergeCell ref="M13:N13"/>
    <mergeCell ref="R19:S19"/>
    <mergeCell ref="R24:S24"/>
    <mergeCell ref="R20:S20"/>
    <mergeCell ref="R21:S21"/>
    <mergeCell ref="R22:S22"/>
    <mergeCell ref="R23:S23"/>
    <mergeCell ref="R17:S17"/>
    <mergeCell ref="R18:S18"/>
    <mergeCell ref="M12:N12"/>
    <mergeCell ref="R12:S12"/>
    <mergeCell ref="M15:N15"/>
    <mergeCell ref="M14:N14"/>
    <mergeCell ref="K13:L13"/>
    <mergeCell ref="B11:B12"/>
    <mergeCell ref="K12:L12"/>
    <mergeCell ref="I10:T10"/>
    <mergeCell ref="R15:S15"/>
    <mergeCell ref="M30:N30"/>
    <mergeCell ref="M31:N31"/>
    <mergeCell ref="K30:L30"/>
    <mergeCell ref="K29:L29"/>
    <mergeCell ref="K28:L28"/>
    <mergeCell ref="K31:L31"/>
    <mergeCell ref="K32:L32"/>
    <mergeCell ref="M32:N32"/>
    <mergeCell ref="L36:M36"/>
    <mergeCell ref="M29:N29"/>
    <mergeCell ref="M28:N28"/>
  </mergeCells>
  <pageMargins left="0.7" right="0.7" top="0.75" bottom="0.75" header="0" footer="0"/>
  <pageSetup orientation="landscape"/>
  <headerFooter>
    <oddFooter>&amp;C&amp;P/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000"/>
  <sheetViews>
    <sheetView workbookViewId="0">
      <pane ySplit="2" topLeftCell="A3" activePane="bottomLeft" state="frozen"/>
      <selection pane="bottomLeft" activeCell="B4" sqref="B4"/>
    </sheetView>
  </sheetViews>
  <sheetFormatPr defaultColWidth="11.21875" defaultRowHeight="15" customHeight="1" x14ac:dyDescent="0.2"/>
  <cols>
    <col min="1" max="1" width="3.77734375" customWidth="1"/>
    <col min="2" max="3" width="3.77734375" hidden="1" customWidth="1"/>
    <col min="4" max="4" width="17.44140625" hidden="1" customWidth="1"/>
    <col min="5" max="5" width="11.44140625" hidden="1" customWidth="1"/>
    <col min="6" max="7" width="9.21875" hidden="1" customWidth="1"/>
    <col min="8" max="8" width="3.77734375" hidden="1" customWidth="1"/>
    <col min="9" max="9" width="3.77734375" customWidth="1"/>
    <col min="10" max="10" width="11.77734375" hidden="1" customWidth="1"/>
    <col min="11" max="11" width="15.6640625" customWidth="1"/>
    <col min="12" max="29" width="15.6640625" hidden="1" customWidth="1"/>
    <col min="30" max="30" width="3.77734375" customWidth="1"/>
    <col min="31" max="32" width="8.77734375" customWidth="1"/>
    <col min="33" max="33" width="12.88671875" customWidth="1"/>
    <col min="34" max="43" width="10.77734375" customWidth="1"/>
  </cols>
  <sheetData>
    <row r="1" spans="1:43" ht="39.75" customHeight="1" x14ac:dyDescent="0.2">
      <c r="A1" s="15"/>
      <c r="B1" s="15"/>
      <c r="C1" s="15"/>
      <c r="D1" s="15"/>
      <c r="E1" s="16" t="s">
        <v>2</v>
      </c>
      <c r="F1" s="16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</row>
    <row r="2" spans="1:43" ht="24.75" customHeight="1" x14ac:dyDescent="0.25">
      <c r="A2" s="15"/>
      <c r="B2" s="15"/>
      <c r="C2" s="15"/>
      <c r="D2" s="15"/>
      <c r="E2" s="18" t="s">
        <v>67</v>
      </c>
      <c r="F2" s="17"/>
      <c r="G2" s="15"/>
      <c r="H2" s="15"/>
      <c r="I2" s="349" t="s">
        <v>68</v>
      </c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74"/>
      <c r="AI2" s="15"/>
      <c r="AJ2" s="15"/>
      <c r="AK2" s="15"/>
      <c r="AL2" s="15"/>
      <c r="AM2" s="15"/>
      <c r="AN2" s="15"/>
      <c r="AO2" s="15"/>
      <c r="AP2" s="15"/>
      <c r="AQ2" s="15"/>
    </row>
    <row r="3" spans="1:43" ht="19.5" customHeight="1" x14ac:dyDescent="0.2">
      <c r="A3" s="15"/>
      <c r="B3" s="15"/>
      <c r="C3" s="15"/>
      <c r="D3" s="87"/>
      <c r="E3" s="46"/>
      <c r="F3" s="15"/>
      <c r="G3" s="15"/>
      <c r="H3" s="15"/>
      <c r="I3" s="34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74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</row>
    <row r="4" spans="1:43" ht="19.5" customHeight="1" x14ac:dyDescent="0.25">
      <c r="A4" s="15"/>
      <c r="B4" s="15"/>
      <c r="C4" s="15"/>
      <c r="D4" s="15"/>
      <c r="E4" s="18">
        <v>1</v>
      </c>
      <c r="F4" s="15"/>
      <c r="G4" s="15"/>
      <c r="H4" s="15"/>
      <c r="I4" s="288" t="s">
        <v>69</v>
      </c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  <c r="AA4" s="289"/>
      <c r="AB4" s="289"/>
      <c r="AC4" s="289"/>
      <c r="AD4" s="289"/>
      <c r="AE4" s="289"/>
      <c r="AF4" s="290"/>
      <c r="AG4" s="89">
        <f ca="1">NOW()</f>
        <v>43181.370863657408</v>
      </c>
      <c r="AH4" s="90"/>
      <c r="AI4" s="15"/>
      <c r="AJ4" s="15"/>
      <c r="AK4" s="15"/>
      <c r="AL4" s="15"/>
      <c r="AM4" s="15"/>
      <c r="AN4" s="15"/>
      <c r="AO4" s="15"/>
      <c r="AP4" s="15"/>
      <c r="AQ4" s="15"/>
    </row>
    <row r="5" spans="1:43" ht="19.5" customHeight="1" x14ac:dyDescent="0.25">
      <c r="A5" s="15"/>
      <c r="B5" s="15"/>
      <c r="C5" s="15"/>
      <c r="D5" s="15"/>
      <c r="E5" s="18">
        <v>1</v>
      </c>
      <c r="F5" s="15"/>
      <c r="G5" s="15"/>
      <c r="H5" s="15"/>
      <c r="I5" s="91" t="str">
        <f>Proposta!I6&amp;" "&amp;IF(Proposta!J6="","",Proposta!J6)&amp;"   "&amp;Proposta!I7&amp;" "&amp;IF(Proposta!J7="","",Proposta!J7)</f>
        <v xml:space="preserve">Cliente:    CPF/CNPJ: </v>
      </c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15"/>
      <c r="AJ5" s="15"/>
      <c r="AK5" s="15"/>
      <c r="AL5" s="15"/>
      <c r="AM5" s="15"/>
      <c r="AN5" s="15"/>
      <c r="AO5" s="15"/>
      <c r="AP5" s="15"/>
      <c r="AQ5" s="15"/>
    </row>
    <row r="6" spans="1:43" ht="19.5" customHeight="1" x14ac:dyDescent="0.25">
      <c r="A6" s="15"/>
      <c r="B6" s="15"/>
      <c r="C6" s="15"/>
      <c r="D6" s="15"/>
      <c r="E6" s="18">
        <v>1</v>
      </c>
      <c r="F6" s="15"/>
      <c r="G6" s="15"/>
      <c r="H6" s="15"/>
      <c r="I6" s="291" t="s">
        <v>45</v>
      </c>
      <c r="J6" s="27" t="s">
        <v>70</v>
      </c>
      <c r="K6" s="27" t="s">
        <v>71</v>
      </c>
      <c r="L6" s="27" t="s">
        <v>72</v>
      </c>
      <c r="M6" s="27" t="s">
        <v>73</v>
      </c>
      <c r="N6" s="27" t="s">
        <v>74</v>
      </c>
      <c r="O6" s="27" t="s">
        <v>75</v>
      </c>
      <c r="P6" s="27" t="s">
        <v>76</v>
      </c>
      <c r="Q6" s="27" t="s">
        <v>77</v>
      </c>
      <c r="R6" s="27" t="s">
        <v>78</v>
      </c>
      <c r="S6" s="27" t="s">
        <v>79</v>
      </c>
      <c r="T6" s="27" t="s">
        <v>80</v>
      </c>
      <c r="U6" s="27" t="s">
        <v>81</v>
      </c>
      <c r="V6" s="27" t="s">
        <v>82</v>
      </c>
      <c r="W6" s="27" t="s">
        <v>83</v>
      </c>
      <c r="X6" s="27" t="s">
        <v>84</v>
      </c>
      <c r="Y6" s="27" t="s">
        <v>85</v>
      </c>
      <c r="Z6" s="27" t="s">
        <v>86</v>
      </c>
      <c r="AA6" s="27" t="s">
        <v>87</v>
      </c>
      <c r="AB6" s="27" t="s">
        <v>88</v>
      </c>
      <c r="AC6" s="27" t="s">
        <v>89</v>
      </c>
      <c r="AD6" s="291" t="s">
        <v>45</v>
      </c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</row>
    <row r="7" spans="1:43" ht="19.5" customHeight="1" x14ac:dyDescent="0.25">
      <c r="A7" s="15"/>
      <c r="B7" s="15"/>
      <c r="C7" s="15"/>
      <c r="D7" s="15"/>
      <c r="E7" s="18">
        <v>1</v>
      </c>
      <c r="F7" s="29"/>
      <c r="G7" s="15"/>
      <c r="H7" s="15"/>
      <c r="I7" s="292"/>
      <c r="J7" s="92">
        <f>IF(AND(Proposta!$L14&lt;&gt;0,Proposta!$U14&lt;&gt;0),Proposta!$L14,0)</f>
        <v>0</v>
      </c>
      <c r="K7" s="92">
        <f>IF(AND(Proposta!$L15&lt;&gt;0,Proposta!$U15&lt;&gt;0),Proposta!$L15,0)</f>
        <v>20000</v>
      </c>
      <c r="L7" s="92">
        <f>IF(AND(Proposta!$L16&lt;&gt;0,Proposta!$U16&lt;&gt;0),Proposta!$L16,0)</f>
        <v>0</v>
      </c>
      <c r="M7" s="92">
        <f>IF(AND(Proposta!$L17&lt;&gt;0,Proposta!$U17&lt;&gt;0),Proposta!$L17,0)</f>
        <v>0</v>
      </c>
      <c r="N7" s="92">
        <f>IF(AND(Proposta!$L18&lt;&gt;0,Proposta!$U18&lt;&gt;0),Proposta!$L18,0)</f>
        <v>0</v>
      </c>
      <c r="O7" s="92">
        <f>IF(AND(Proposta!$L19&lt;&gt;0,Proposta!$U19&lt;&gt;0),Proposta!$L19,0)</f>
        <v>0</v>
      </c>
      <c r="P7" s="92">
        <f>IF(AND(Proposta!$L20&lt;&gt;0,Proposta!$U20&lt;&gt;0),Proposta!$L20,0)</f>
        <v>0</v>
      </c>
      <c r="Q7" s="92">
        <f>IF(AND(Proposta!$L21&lt;&gt;0,Proposta!$U21&lt;&gt;0),Proposta!$L21,0)</f>
        <v>0</v>
      </c>
      <c r="R7" s="92">
        <f>IF(AND(Proposta!$L22&lt;&gt;0,Proposta!$U22&lt;&gt;0),Proposta!$L22,0)</f>
        <v>0</v>
      </c>
      <c r="S7" s="92">
        <f>IF(AND(Proposta!$L23&lt;&gt;0,Proposta!$U23&lt;&gt;0),Proposta!$L23,0)</f>
        <v>0</v>
      </c>
      <c r="T7" s="92">
        <f>IF(AND(Proposta!$L24&lt;&gt;0,Proposta!$U24&lt;&gt;0),Proposta!$L24,0)</f>
        <v>0</v>
      </c>
      <c r="U7" s="92">
        <f>IF(AND(Proposta!$L25&lt;&gt;0,Proposta!$U25&lt;&gt;0),Proposta!$L25,0)</f>
        <v>0</v>
      </c>
      <c r="V7" s="92">
        <f>IF(AND(Proposta!$L26&lt;&gt;0,Proposta!$U26&lt;&gt;0),Proposta!$L26,0)</f>
        <v>0</v>
      </c>
      <c r="W7" s="92">
        <f>IF(AND(Proposta!$L27&lt;&gt;0,Proposta!$U27&lt;&gt;0),Proposta!$L27,0)</f>
        <v>0</v>
      </c>
      <c r="X7" s="92">
        <f>IF(AND(Proposta!$L28&lt;&gt;0,Proposta!$U28&lt;&gt;0),Proposta!$L28,0)</f>
        <v>0</v>
      </c>
      <c r="Y7" s="92">
        <f>IF(AND(Proposta!$L29&lt;&gt;0,Proposta!$U29&lt;&gt;0),Proposta!$L29,0)</f>
        <v>0</v>
      </c>
      <c r="Z7" s="92">
        <f>IF(AND(Proposta!$L30&lt;&gt;0,Proposta!$U30&lt;&gt;0),Proposta!$L30,0)</f>
        <v>0</v>
      </c>
      <c r="AA7" s="92">
        <f>IF(AND(Proposta!$L31&lt;&gt;0,Proposta!$U31&lt;&gt;0),Proposta!$L31,0)</f>
        <v>0</v>
      </c>
      <c r="AB7" s="92">
        <f>IF(AND(Proposta!$L32&lt;&gt;0,Proposta!$U32&lt;&gt;0),Proposta!$L32,0)</f>
        <v>0</v>
      </c>
      <c r="AC7" s="92">
        <f>IF(AND(Proposta!$L33&lt;&gt;0,Proposta!$U33&lt;&gt;0),Proposta!$L33,0)</f>
        <v>0</v>
      </c>
      <c r="AD7" s="292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</row>
    <row r="8" spans="1:43" ht="19.5" customHeight="1" x14ac:dyDescent="0.2">
      <c r="A8" s="15"/>
      <c r="B8" s="15"/>
      <c r="C8" s="15"/>
      <c r="D8" s="15"/>
      <c r="E8" s="46">
        <f>IF(AND(I8&lt;=MAX(Proposta!$Z$14:$Z$33),$E$7=1),1,0)</f>
        <v>1</v>
      </c>
      <c r="F8" s="15"/>
      <c r="G8" s="15"/>
      <c r="H8" s="15"/>
      <c r="I8" s="93">
        <v>1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/>
      <c r="V8" s="94"/>
      <c r="W8" s="94"/>
      <c r="X8" s="94"/>
      <c r="Y8" s="94"/>
      <c r="Z8" s="94">
        <v>0</v>
      </c>
      <c r="AA8" s="94">
        <v>0</v>
      </c>
      <c r="AB8" s="94">
        <v>0</v>
      </c>
      <c r="AC8" s="94">
        <v>0</v>
      </c>
      <c r="AD8" s="93">
        <v>1</v>
      </c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</row>
    <row r="9" spans="1:43" ht="19.5" customHeight="1" x14ac:dyDescent="0.2">
      <c r="A9" s="15"/>
      <c r="B9" s="15"/>
      <c r="C9" s="15"/>
      <c r="D9" s="15"/>
      <c r="E9" s="46">
        <f>IF(AND(I9&lt;=MAX(Proposta!$Z$14:$Z$33),$E$7=1),1,0)</f>
        <v>1</v>
      </c>
      <c r="F9" s="15"/>
      <c r="G9" s="15"/>
      <c r="H9" s="15"/>
      <c r="I9" s="93">
        <v>2</v>
      </c>
      <c r="J9" s="94">
        <v>0</v>
      </c>
      <c r="K9" s="94">
        <v>0</v>
      </c>
      <c r="L9" s="94">
        <v>0</v>
      </c>
      <c r="M9" s="94">
        <v>0</v>
      </c>
      <c r="N9" s="94">
        <v>10000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10100</v>
      </c>
      <c r="U9" s="94"/>
      <c r="V9" s="94"/>
      <c r="W9" s="94"/>
      <c r="X9" s="94"/>
      <c r="Y9" s="94"/>
      <c r="Z9" s="94">
        <v>0</v>
      </c>
      <c r="AA9" s="94">
        <v>0</v>
      </c>
      <c r="AB9" s="94">
        <v>0</v>
      </c>
      <c r="AC9" s="94">
        <v>10100</v>
      </c>
      <c r="AD9" s="93">
        <v>2</v>
      </c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</row>
    <row r="10" spans="1:43" ht="19.5" customHeight="1" x14ac:dyDescent="0.2">
      <c r="A10" s="15"/>
      <c r="B10" s="15"/>
      <c r="C10" s="15"/>
      <c r="D10" s="15"/>
      <c r="E10" s="46">
        <f>IF(AND(I10&lt;=MAX(Proposta!$Z$14:$Z$33),$E$7=1),1,0)</f>
        <v>1</v>
      </c>
      <c r="F10" s="15"/>
      <c r="G10" s="15"/>
      <c r="H10" s="15"/>
      <c r="I10" s="93">
        <v>3</v>
      </c>
      <c r="J10" s="94">
        <v>0</v>
      </c>
      <c r="K10" s="94">
        <v>0</v>
      </c>
      <c r="L10" s="94">
        <v>179999997999.79999</v>
      </c>
      <c r="M10" s="94">
        <v>0</v>
      </c>
      <c r="N10" s="94">
        <v>10000</v>
      </c>
      <c r="O10" s="94">
        <v>0</v>
      </c>
      <c r="P10" s="94">
        <v>0</v>
      </c>
      <c r="Q10" s="94">
        <v>0</v>
      </c>
      <c r="R10" s="94">
        <v>11428.571428571429</v>
      </c>
      <c r="S10" s="94">
        <v>0</v>
      </c>
      <c r="T10" s="94">
        <v>10100</v>
      </c>
      <c r="U10" s="94"/>
      <c r="V10" s="94"/>
      <c r="W10" s="94"/>
      <c r="X10" s="94"/>
      <c r="Y10" s="94"/>
      <c r="Z10" s="94">
        <v>0</v>
      </c>
      <c r="AA10" s="94">
        <v>10731.25</v>
      </c>
      <c r="AB10" s="94">
        <v>0</v>
      </c>
      <c r="AC10" s="94">
        <v>10100</v>
      </c>
      <c r="AD10" s="93">
        <v>3</v>
      </c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</row>
    <row r="11" spans="1:43" ht="19.5" customHeight="1" x14ac:dyDescent="0.2">
      <c r="A11" s="15"/>
      <c r="B11" s="15"/>
      <c r="C11" s="15"/>
      <c r="D11" s="15"/>
      <c r="E11" s="46">
        <f>IF(AND(I11&lt;=MAX(Proposta!$Z$14:$Z$33),$E$7=1),1,0)</f>
        <v>1</v>
      </c>
      <c r="F11" s="15"/>
      <c r="G11" s="15"/>
      <c r="H11" s="15"/>
      <c r="I11" s="93">
        <v>4</v>
      </c>
      <c r="J11" s="94">
        <v>0</v>
      </c>
      <c r="K11" s="94">
        <v>1176.47</v>
      </c>
      <c r="L11" s="94">
        <v>179999997999.79999</v>
      </c>
      <c r="M11" s="94">
        <v>0</v>
      </c>
      <c r="N11" s="94">
        <v>10000</v>
      </c>
      <c r="O11" s="94">
        <v>0</v>
      </c>
      <c r="P11" s="94">
        <v>15000</v>
      </c>
      <c r="Q11" s="94">
        <v>0</v>
      </c>
      <c r="R11" s="94">
        <v>11428.571428571429</v>
      </c>
      <c r="S11" s="94">
        <v>0</v>
      </c>
      <c r="T11" s="94">
        <v>10100</v>
      </c>
      <c r="U11" s="94"/>
      <c r="V11" s="94"/>
      <c r="W11" s="94"/>
      <c r="X11" s="94"/>
      <c r="Y11" s="94"/>
      <c r="Z11" s="94">
        <v>0</v>
      </c>
      <c r="AA11" s="94">
        <v>10731.25</v>
      </c>
      <c r="AB11" s="94">
        <v>0</v>
      </c>
      <c r="AC11" s="94">
        <v>10100</v>
      </c>
      <c r="AD11" s="93">
        <v>4</v>
      </c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</row>
    <row r="12" spans="1:43" ht="19.5" customHeight="1" x14ac:dyDescent="0.2">
      <c r="A12" s="15"/>
      <c r="B12" s="15"/>
      <c r="C12" s="15"/>
      <c r="D12" s="15"/>
      <c r="E12" s="46">
        <f>IF(AND(I12&lt;=MAX(Proposta!$Z$14:$Z$33),$E$7=1),1,0)</f>
        <v>1</v>
      </c>
      <c r="F12" s="15"/>
      <c r="G12" s="15"/>
      <c r="H12" s="15"/>
      <c r="I12" s="93">
        <v>5</v>
      </c>
      <c r="J12" s="94">
        <v>0</v>
      </c>
      <c r="K12" s="94">
        <v>1176.47</v>
      </c>
      <c r="L12" s="94">
        <v>179999997999.79999</v>
      </c>
      <c r="M12" s="94">
        <v>0</v>
      </c>
      <c r="N12" s="94">
        <v>10000</v>
      </c>
      <c r="O12" s="94">
        <v>0</v>
      </c>
      <c r="P12" s="94">
        <v>15000</v>
      </c>
      <c r="Q12" s="94">
        <v>0</v>
      </c>
      <c r="R12" s="94">
        <v>11428.571428571429</v>
      </c>
      <c r="S12" s="94">
        <v>0</v>
      </c>
      <c r="T12" s="94">
        <v>10100</v>
      </c>
      <c r="U12" s="94"/>
      <c r="V12" s="94"/>
      <c r="W12" s="94"/>
      <c r="X12" s="94"/>
      <c r="Y12" s="94"/>
      <c r="Z12" s="94">
        <v>0</v>
      </c>
      <c r="AA12" s="94">
        <v>10731.25</v>
      </c>
      <c r="AB12" s="94">
        <v>0</v>
      </c>
      <c r="AC12" s="94">
        <v>10100</v>
      </c>
      <c r="AD12" s="93">
        <v>5</v>
      </c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</row>
    <row r="13" spans="1:43" ht="19.5" customHeight="1" x14ac:dyDescent="0.2">
      <c r="A13" s="15"/>
      <c r="B13" s="15"/>
      <c r="C13" s="15"/>
      <c r="D13" s="15"/>
      <c r="E13" s="46">
        <f>IF(AND(I13&lt;=MAX(Proposta!$Z$14:$Z$33),$E$7=1),1,0)</f>
        <v>1</v>
      </c>
      <c r="F13" s="15"/>
      <c r="G13" s="15"/>
      <c r="H13" s="15"/>
      <c r="I13" s="93">
        <v>6</v>
      </c>
      <c r="J13" s="94">
        <v>0</v>
      </c>
      <c r="K13" s="94">
        <v>1176.47</v>
      </c>
      <c r="L13" s="94">
        <v>179999997999.79999</v>
      </c>
      <c r="M13" s="94">
        <v>0</v>
      </c>
      <c r="N13" s="94">
        <v>0</v>
      </c>
      <c r="O13" s="94">
        <v>0</v>
      </c>
      <c r="P13" s="94">
        <v>15000</v>
      </c>
      <c r="Q13" s="94">
        <v>0</v>
      </c>
      <c r="R13" s="94">
        <v>11428.571428571429</v>
      </c>
      <c r="S13" s="94">
        <v>0</v>
      </c>
      <c r="T13" s="94">
        <v>10100</v>
      </c>
      <c r="U13" s="94"/>
      <c r="V13" s="94"/>
      <c r="W13" s="94"/>
      <c r="X13" s="94"/>
      <c r="Y13" s="94"/>
      <c r="Z13" s="94">
        <v>0</v>
      </c>
      <c r="AA13" s="94">
        <v>10731.25</v>
      </c>
      <c r="AB13" s="94">
        <v>0</v>
      </c>
      <c r="AC13" s="94">
        <v>10100</v>
      </c>
      <c r="AD13" s="93">
        <v>6</v>
      </c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</row>
    <row r="14" spans="1:43" ht="19.5" customHeight="1" x14ac:dyDescent="0.2">
      <c r="A14" s="15"/>
      <c r="B14" s="15"/>
      <c r="C14" s="15"/>
      <c r="D14" s="15"/>
      <c r="E14" s="46">
        <f>IF(AND(I14&lt;=MAX(Proposta!$Z$14:$Z$33),$E$7=1),1,0)</f>
        <v>1</v>
      </c>
      <c r="F14" s="15"/>
      <c r="G14" s="15"/>
      <c r="H14" s="15"/>
      <c r="I14" s="93">
        <v>7</v>
      </c>
      <c r="J14" s="94">
        <v>0</v>
      </c>
      <c r="K14" s="94">
        <v>1176.47</v>
      </c>
      <c r="L14" s="94">
        <v>179999997999.79999</v>
      </c>
      <c r="M14" s="94">
        <v>0</v>
      </c>
      <c r="N14" s="94">
        <v>0</v>
      </c>
      <c r="O14" s="94">
        <v>0</v>
      </c>
      <c r="P14" s="94">
        <v>15000</v>
      </c>
      <c r="Q14" s="94">
        <v>0</v>
      </c>
      <c r="R14" s="94">
        <v>11428.571428571429</v>
      </c>
      <c r="S14" s="94">
        <v>0</v>
      </c>
      <c r="T14" s="94">
        <v>10100</v>
      </c>
      <c r="U14" s="94"/>
      <c r="V14" s="94"/>
      <c r="W14" s="94"/>
      <c r="X14" s="94"/>
      <c r="Y14" s="94"/>
      <c r="Z14" s="94">
        <v>0</v>
      </c>
      <c r="AA14" s="94">
        <v>10731.25</v>
      </c>
      <c r="AB14" s="94">
        <v>0</v>
      </c>
      <c r="AC14" s="94">
        <v>10100</v>
      </c>
      <c r="AD14" s="93">
        <v>7</v>
      </c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</row>
    <row r="15" spans="1:43" ht="19.5" customHeight="1" x14ac:dyDescent="0.2">
      <c r="A15" s="15"/>
      <c r="B15" s="15"/>
      <c r="C15" s="15"/>
      <c r="D15" s="15"/>
      <c r="E15" s="46">
        <f>IF(AND(I15&lt;=MAX(Proposta!$Z$14:$Z$33),$E$7=1),1,0)</f>
        <v>1</v>
      </c>
      <c r="F15" s="15"/>
      <c r="G15" s="15"/>
      <c r="H15" s="15"/>
      <c r="I15" s="93">
        <v>8</v>
      </c>
      <c r="J15" s="94">
        <v>0</v>
      </c>
      <c r="K15" s="94">
        <v>1176.47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11428.571428571429</v>
      </c>
      <c r="S15" s="94">
        <v>0</v>
      </c>
      <c r="T15" s="94">
        <v>10100</v>
      </c>
      <c r="U15" s="94"/>
      <c r="V15" s="94"/>
      <c r="W15" s="94"/>
      <c r="X15" s="94"/>
      <c r="Y15" s="94"/>
      <c r="Z15" s="94">
        <v>0</v>
      </c>
      <c r="AA15" s="94">
        <v>10731.25</v>
      </c>
      <c r="AB15" s="94">
        <v>0</v>
      </c>
      <c r="AC15" s="94">
        <v>10100</v>
      </c>
      <c r="AD15" s="93">
        <v>8</v>
      </c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</row>
    <row r="16" spans="1:43" ht="19.5" customHeight="1" x14ac:dyDescent="0.2">
      <c r="A16" s="15"/>
      <c r="B16" s="15"/>
      <c r="C16" s="15"/>
      <c r="D16" s="15"/>
      <c r="E16" s="46">
        <f>IF(AND(I16&lt;=MAX(Proposta!$Z$14:$Z$33),$E$7=1),1,0)</f>
        <v>1</v>
      </c>
      <c r="F16" s="15"/>
      <c r="G16" s="15"/>
      <c r="H16" s="15"/>
      <c r="I16" s="93">
        <v>9</v>
      </c>
      <c r="J16" s="94">
        <v>0</v>
      </c>
      <c r="K16" s="94">
        <v>1176.47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11428.571428571429</v>
      </c>
      <c r="S16" s="94">
        <v>0</v>
      </c>
      <c r="T16" s="94">
        <v>10100</v>
      </c>
      <c r="U16" s="94"/>
      <c r="V16" s="94"/>
      <c r="W16" s="94"/>
      <c r="X16" s="94"/>
      <c r="Y16" s="94"/>
      <c r="Z16" s="94">
        <v>0</v>
      </c>
      <c r="AA16" s="94">
        <v>10731.25</v>
      </c>
      <c r="AB16" s="94">
        <v>0</v>
      </c>
      <c r="AC16" s="94">
        <v>10100</v>
      </c>
      <c r="AD16" s="93">
        <v>9</v>
      </c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</row>
    <row r="17" spans="1:43" ht="19.5" customHeight="1" x14ac:dyDescent="0.2">
      <c r="A17" s="15"/>
      <c r="B17" s="15"/>
      <c r="C17" s="15"/>
      <c r="D17" s="15"/>
      <c r="E17" s="46">
        <f>IF(AND(I17&lt;=MAX(Proposta!$Z$14:$Z$33),$E$7=1),1,0)</f>
        <v>1</v>
      </c>
      <c r="F17" s="15"/>
      <c r="G17" s="15"/>
      <c r="H17" s="15"/>
      <c r="I17" s="93">
        <v>10</v>
      </c>
      <c r="J17" s="94">
        <v>0</v>
      </c>
      <c r="K17" s="94">
        <v>1176.47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10100</v>
      </c>
      <c r="U17" s="94"/>
      <c r="V17" s="94"/>
      <c r="W17" s="94"/>
      <c r="X17" s="94"/>
      <c r="Y17" s="94"/>
      <c r="Z17" s="94">
        <v>0</v>
      </c>
      <c r="AA17" s="94">
        <v>10731.25</v>
      </c>
      <c r="AB17" s="94">
        <v>0</v>
      </c>
      <c r="AC17" s="94">
        <v>10100</v>
      </c>
      <c r="AD17" s="93">
        <v>10</v>
      </c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</row>
    <row r="18" spans="1:43" ht="19.5" customHeight="1" x14ac:dyDescent="0.2">
      <c r="A18" s="15"/>
      <c r="B18" s="15"/>
      <c r="C18" s="15"/>
      <c r="D18" s="15"/>
      <c r="E18" s="46">
        <f>IF(AND(I18&lt;=MAX(Proposta!$Z$14:$Z$33),$E$7=1),1,0)</f>
        <v>1</v>
      </c>
      <c r="F18" s="15"/>
      <c r="G18" s="15"/>
      <c r="H18" s="15"/>
      <c r="I18" s="93">
        <v>11</v>
      </c>
      <c r="J18" s="94">
        <v>0</v>
      </c>
      <c r="K18" s="94">
        <v>1176.47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10100</v>
      </c>
      <c r="U18" s="94"/>
      <c r="V18" s="94"/>
      <c r="W18" s="94"/>
      <c r="X18" s="94"/>
      <c r="Y18" s="94"/>
      <c r="Z18" s="94">
        <v>0</v>
      </c>
      <c r="AA18" s="94">
        <v>10731.25</v>
      </c>
      <c r="AB18" s="94">
        <v>0</v>
      </c>
      <c r="AC18" s="94">
        <v>10100</v>
      </c>
      <c r="AD18" s="93">
        <v>11</v>
      </c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</row>
    <row r="19" spans="1:43" ht="19.5" customHeight="1" x14ac:dyDescent="0.2">
      <c r="A19" s="15"/>
      <c r="B19" s="15"/>
      <c r="C19" s="15"/>
      <c r="D19" s="15"/>
      <c r="E19" s="46">
        <f>IF(AND(I19&lt;=MAX(Proposta!$Z$14:$Z$33),$E$7=1),1,0)</f>
        <v>1</v>
      </c>
      <c r="F19" s="15"/>
      <c r="G19" s="15"/>
      <c r="H19" s="15"/>
      <c r="I19" s="93">
        <v>12</v>
      </c>
      <c r="J19" s="94">
        <v>0</v>
      </c>
      <c r="K19" s="94">
        <v>1176.47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/>
      <c r="V19" s="94"/>
      <c r="W19" s="94"/>
      <c r="X19" s="94"/>
      <c r="Y19" s="94"/>
      <c r="Z19" s="94">
        <v>0</v>
      </c>
      <c r="AA19" s="94">
        <v>10731.25</v>
      </c>
      <c r="AB19" s="94">
        <v>0</v>
      </c>
      <c r="AC19" s="94">
        <v>10100</v>
      </c>
      <c r="AD19" s="93">
        <v>12</v>
      </c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</row>
    <row r="20" spans="1:43" ht="19.5" customHeight="1" x14ac:dyDescent="0.2">
      <c r="A20" s="15"/>
      <c r="B20" s="15"/>
      <c r="C20" s="15"/>
      <c r="D20" s="15"/>
      <c r="E20" s="46">
        <f>IF(AND(I20&lt;=MAX(Proposta!$Z$14:$Z$33),$E$7=1),1,0)</f>
        <v>1</v>
      </c>
      <c r="F20" s="15"/>
      <c r="G20" s="15"/>
      <c r="H20" s="15"/>
      <c r="I20" s="93">
        <v>13</v>
      </c>
      <c r="J20" s="94">
        <v>0</v>
      </c>
      <c r="K20" s="94">
        <v>1176.47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/>
      <c r="V20" s="94"/>
      <c r="W20" s="94"/>
      <c r="X20" s="94"/>
      <c r="Y20" s="94"/>
      <c r="Z20" s="94">
        <v>0</v>
      </c>
      <c r="AA20" s="94">
        <v>10731.25</v>
      </c>
      <c r="AB20" s="94">
        <v>0</v>
      </c>
      <c r="AC20" s="94">
        <v>10100</v>
      </c>
      <c r="AD20" s="93">
        <v>13</v>
      </c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</row>
    <row r="21" spans="1:43" ht="19.5" customHeight="1" x14ac:dyDescent="0.2">
      <c r="A21" s="15"/>
      <c r="B21" s="15"/>
      <c r="C21" s="15"/>
      <c r="D21" s="15"/>
      <c r="E21" s="46">
        <f>IF(AND(I21&lt;=MAX(Proposta!$Z$14:$Z$33),$E$7=1),1,0)</f>
        <v>1</v>
      </c>
      <c r="F21" s="15"/>
      <c r="G21" s="15"/>
      <c r="H21" s="15"/>
      <c r="I21" s="93">
        <v>14</v>
      </c>
      <c r="J21" s="94">
        <v>0</v>
      </c>
      <c r="K21" s="94">
        <v>1176.47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/>
      <c r="V21" s="94"/>
      <c r="W21" s="94"/>
      <c r="X21" s="94"/>
      <c r="Y21" s="94"/>
      <c r="Z21" s="94">
        <v>0</v>
      </c>
      <c r="AA21" s="94">
        <v>10731.25</v>
      </c>
      <c r="AB21" s="94">
        <v>0</v>
      </c>
      <c r="AC21" s="94">
        <v>10100</v>
      </c>
      <c r="AD21" s="93">
        <v>14</v>
      </c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</row>
    <row r="22" spans="1:43" ht="19.5" customHeight="1" x14ac:dyDescent="0.2">
      <c r="A22" s="15"/>
      <c r="B22" s="15"/>
      <c r="C22" s="15"/>
      <c r="D22" s="15"/>
      <c r="E22" s="46">
        <f>IF(AND(I22&lt;=MAX(Proposta!$Z$14:$Z$33),$E$7=1),1,0)</f>
        <v>1</v>
      </c>
      <c r="F22" s="15"/>
      <c r="G22" s="15"/>
      <c r="H22" s="15"/>
      <c r="I22" s="93">
        <v>15</v>
      </c>
      <c r="J22" s="94">
        <v>0</v>
      </c>
      <c r="K22" s="94">
        <v>1176.47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/>
      <c r="V22" s="94"/>
      <c r="W22" s="94"/>
      <c r="X22" s="94"/>
      <c r="Y22" s="94"/>
      <c r="Z22" s="94">
        <v>0</v>
      </c>
      <c r="AA22" s="94">
        <v>10731.25</v>
      </c>
      <c r="AB22" s="94">
        <v>0</v>
      </c>
      <c r="AC22" s="94">
        <v>10100</v>
      </c>
      <c r="AD22" s="93">
        <v>15</v>
      </c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</row>
    <row r="23" spans="1:43" ht="19.5" customHeight="1" x14ac:dyDescent="0.2">
      <c r="A23" s="15"/>
      <c r="B23" s="15"/>
      <c r="C23" s="15"/>
      <c r="D23" s="15"/>
      <c r="E23" s="46">
        <f>IF(AND(I23&lt;=MAX(Proposta!$Z$14:$Z$33),$E$7=1),1,0)</f>
        <v>1</v>
      </c>
      <c r="F23" s="15"/>
      <c r="G23" s="15"/>
      <c r="H23" s="15"/>
      <c r="I23" s="93">
        <v>16</v>
      </c>
      <c r="J23" s="94">
        <v>0</v>
      </c>
      <c r="K23" s="94">
        <v>1176.47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/>
      <c r="V23" s="94"/>
      <c r="W23" s="94"/>
      <c r="X23" s="94"/>
      <c r="Y23" s="94"/>
      <c r="Z23" s="94">
        <v>0</v>
      </c>
      <c r="AA23" s="94">
        <v>10731.25</v>
      </c>
      <c r="AB23" s="94">
        <v>0</v>
      </c>
      <c r="AC23" s="94">
        <v>10100</v>
      </c>
      <c r="AD23" s="93">
        <v>16</v>
      </c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</row>
    <row r="24" spans="1:43" ht="19.5" customHeight="1" x14ac:dyDescent="0.2">
      <c r="A24" s="15"/>
      <c r="B24" s="15"/>
      <c r="C24" s="15"/>
      <c r="D24" s="15"/>
      <c r="E24" s="46">
        <f>IF(AND(I24&lt;=MAX(Proposta!$Z$14:$Z$33),$E$7=1),1,0)</f>
        <v>1</v>
      </c>
      <c r="F24" s="15"/>
      <c r="G24" s="15"/>
      <c r="H24" s="15"/>
      <c r="I24" s="93">
        <v>17</v>
      </c>
      <c r="J24" s="94">
        <v>0</v>
      </c>
      <c r="K24" s="94">
        <v>1176.47</v>
      </c>
      <c r="L24" s="94">
        <v>0</v>
      </c>
      <c r="M24" s="94">
        <v>0</v>
      </c>
      <c r="N24" s="94">
        <v>0</v>
      </c>
      <c r="O24" s="94">
        <v>0</v>
      </c>
      <c r="P24" s="94">
        <v>0</v>
      </c>
      <c r="Q24" s="94">
        <v>0</v>
      </c>
      <c r="R24" s="94">
        <v>0</v>
      </c>
      <c r="S24" s="94">
        <v>0</v>
      </c>
      <c r="T24" s="94">
        <v>0</v>
      </c>
      <c r="U24" s="94"/>
      <c r="V24" s="94"/>
      <c r="W24" s="94"/>
      <c r="X24" s="94"/>
      <c r="Y24" s="94"/>
      <c r="Z24" s="94">
        <v>0</v>
      </c>
      <c r="AA24" s="94">
        <v>10731.25</v>
      </c>
      <c r="AB24" s="94">
        <v>0</v>
      </c>
      <c r="AC24" s="94">
        <v>10100</v>
      </c>
      <c r="AD24" s="93">
        <v>17</v>
      </c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</row>
    <row r="25" spans="1:43" ht="19.5" customHeight="1" x14ac:dyDescent="0.2">
      <c r="A25" s="15"/>
      <c r="B25" s="15"/>
      <c r="C25" s="15"/>
      <c r="D25" s="15"/>
      <c r="E25" s="46">
        <f>IF(AND(I25&lt;=MAX(Proposta!$Z$14:$Z$33),$E$7=1),1,0)</f>
        <v>1</v>
      </c>
      <c r="F25" s="15"/>
      <c r="G25" s="15"/>
      <c r="H25" s="15"/>
      <c r="I25" s="93">
        <v>18</v>
      </c>
      <c r="J25" s="94">
        <v>0</v>
      </c>
      <c r="K25" s="94">
        <v>1176.47</v>
      </c>
      <c r="L25" s="94">
        <v>0</v>
      </c>
      <c r="M25" s="94">
        <v>0</v>
      </c>
      <c r="N25" s="94">
        <v>0</v>
      </c>
      <c r="O25" s="94">
        <v>0</v>
      </c>
      <c r="P25" s="94">
        <v>0</v>
      </c>
      <c r="Q25" s="94">
        <v>0</v>
      </c>
      <c r="R25" s="94">
        <v>0</v>
      </c>
      <c r="S25" s="94">
        <v>0</v>
      </c>
      <c r="T25" s="94">
        <v>0</v>
      </c>
      <c r="U25" s="94"/>
      <c r="V25" s="94"/>
      <c r="W25" s="94"/>
      <c r="X25" s="94"/>
      <c r="Y25" s="94"/>
      <c r="Z25" s="94">
        <v>0</v>
      </c>
      <c r="AA25" s="94">
        <v>10731.25</v>
      </c>
      <c r="AB25" s="94">
        <v>0</v>
      </c>
      <c r="AC25" s="94">
        <v>10100</v>
      </c>
      <c r="AD25" s="93">
        <v>18</v>
      </c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</row>
    <row r="26" spans="1:43" ht="19.5" customHeight="1" x14ac:dyDescent="0.2">
      <c r="A26" s="15"/>
      <c r="B26" s="15"/>
      <c r="C26" s="15"/>
      <c r="D26" s="15"/>
      <c r="E26" s="46">
        <f>IF(AND(I26&lt;=MAX(Proposta!$Z$14:$Z$33),$E$7=1),1,0)</f>
        <v>1</v>
      </c>
      <c r="F26" s="15"/>
      <c r="G26" s="15"/>
      <c r="H26" s="15"/>
      <c r="I26" s="93">
        <v>19</v>
      </c>
      <c r="J26" s="94">
        <v>0</v>
      </c>
      <c r="K26" s="94">
        <v>1176.47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/>
      <c r="V26" s="94"/>
      <c r="W26" s="94"/>
      <c r="X26" s="94"/>
      <c r="Y26" s="94"/>
      <c r="Z26" s="94">
        <v>0</v>
      </c>
      <c r="AA26" s="94">
        <v>0</v>
      </c>
      <c r="AB26" s="94">
        <v>0</v>
      </c>
      <c r="AC26" s="94">
        <v>10100</v>
      </c>
      <c r="AD26" s="93">
        <v>19</v>
      </c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</row>
    <row r="27" spans="1:43" ht="19.5" customHeight="1" x14ac:dyDescent="0.2">
      <c r="A27" s="15"/>
      <c r="B27" s="15"/>
      <c r="C27" s="15"/>
      <c r="D27" s="15"/>
      <c r="E27" s="46">
        <f>IF(AND(I27&lt;=MAX(Proposta!$Z$14:$Z$33),$E$7=1),1,0)</f>
        <v>1</v>
      </c>
      <c r="F27" s="15"/>
      <c r="G27" s="15"/>
      <c r="H27" s="15"/>
      <c r="I27" s="93">
        <v>20</v>
      </c>
      <c r="J27" s="94">
        <v>0</v>
      </c>
      <c r="K27" s="94">
        <v>1176.48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/>
      <c r="V27" s="94"/>
      <c r="W27" s="94"/>
      <c r="X27" s="94"/>
      <c r="Y27" s="94"/>
      <c r="Z27" s="94">
        <v>0</v>
      </c>
      <c r="AA27" s="94">
        <v>0</v>
      </c>
      <c r="AB27" s="94">
        <v>0</v>
      </c>
      <c r="AC27" s="94">
        <v>10100</v>
      </c>
      <c r="AD27" s="93">
        <v>20</v>
      </c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</row>
    <row r="28" spans="1:43" ht="19.5" customHeight="1" x14ac:dyDescent="0.25">
      <c r="A28" s="15"/>
      <c r="B28" s="15"/>
      <c r="C28" s="15"/>
      <c r="D28" s="15"/>
      <c r="E28" s="18">
        <v>1</v>
      </c>
      <c r="F28" s="15"/>
      <c r="G28" s="15"/>
      <c r="H28" s="15"/>
      <c r="I28" s="27" t="s">
        <v>90</v>
      </c>
      <c r="J28" s="95">
        <f t="shared" ref="J28:AC28" si="0">SUM(J8:J27)</f>
        <v>0</v>
      </c>
      <c r="K28" s="95">
        <f t="shared" si="0"/>
        <v>20000</v>
      </c>
      <c r="L28" s="95">
        <f t="shared" si="0"/>
        <v>899999989999</v>
      </c>
      <c r="M28" s="95">
        <f t="shared" si="0"/>
        <v>0</v>
      </c>
      <c r="N28" s="95">
        <f t="shared" si="0"/>
        <v>40000</v>
      </c>
      <c r="O28" s="95">
        <f t="shared" si="0"/>
        <v>0</v>
      </c>
      <c r="P28" s="95">
        <f t="shared" si="0"/>
        <v>60000</v>
      </c>
      <c r="Q28" s="95">
        <f t="shared" si="0"/>
        <v>0</v>
      </c>
      <c r="R28" s="95">
        <f t="shared" si="0"/>
        <v>80000.000000000015</v>
      </c>
      <c r="S28" s="95">
        <f t="shared" si="0"/>
        <v>0</v>
      </c>
      <c r="T28" s="95">
        <f t="shared" si="0"/>
        <v>101000</v>
      </c>
      <c r="U28" s="95">
        <f t="shared" si="0"/>
        <v>0</v>
      </c>
      <c r="V28" s="95">
        <f t="shared" si="0"/>
        <v>0</v>
      </c>
      <c r="W28" s="95">
        <f t="shared" si="0"/>
        <v>0</v>
      </c>
      <c r="X28" s="95">
        <f t="shared" si="0"/>
        <v>0</v>
      </c>
      <c r="Y28" s="95">
        <f t="shared" si="0"/>
        <v>0</v>
      </c>
      <c r="Z28" s="95">
        <f t="shared" si="0"/>
        <v>0</v>
      </c>
      <c r="AA28" s="95">
        <f t="shared" si="0"/>
        <v>171700</v>
      </c>
      <c r="AB28" s="95">
        <f t="shared" si="0"/>
        <v>0</v>
      </c>
      <c r="AC28" s="95">
        <f t="shared" si="0"/>
        <v>191900</v>
      </c>
      <c r="AD28" s="49" t="s">
        <v>90</v>
      </c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</row>
    <row r="29" spans="1:43" ht="19.5" customHeight="1" x14ac:dyDescent="0.2">
      <c r="A29" s="15"/>
      <c r="B29" s="15"/>
      <c r="C29" s="15"/>
      <c r="D29" s="15"/>
      <c r="E29" s="46"/>
      <c r="F29" s="15"/>
      <c r="G29" s="15"/>
      <c r="H29" s="15"/>
      <c r="I29" s="27" t="s">
        <v>91</v>
      </c>
      <c r="J29" s="95">
        <f t="shared" ref="J29:AC29" si="1">J7-J28</f>
        <v>0</v>
      </c>
      <c r="K29" s="95">
        <f t="shared" si="1"/>
        <v>0</v>
      </c>
      <c r="L29" s="95">
        <f t="shared" si="1"/>
        <v>-899999989999</v>
      </c>
      <c r="M29" s="95">
        <f t="shared" si="1"/>
        <v>0</v>
      </c>
      <c r="N29" s="95">
        <f t="shared" si="1"/>
        <v>-40000</v>
      </c>
      <c r="O29" s="95">
        <f t="shared" si="1"/>
        <v>0</v>
      </c>
      <c r="P29" s="95">
        <f t="shared" si="1"/>
        <v>-60000</v>
      </c>
      <c r="Q29" s="95">
        <f t="shared" si="1"/>
        <v>0</v>
      </c>
      <c r="R29" s="95">
        <f t="shared" si="1"/>
        <v>-80000.000000000015</v>
      </c>
      <c r="S29" s="95">
        <f t="shared" si="1"/>
        <v>0</v>
      </c>
      <c r="T29" s="95">
        <f t="shared" si="1"/>
        <v>-101000</v>
      </c>
      <c r="U29" s="95">
        <f t="shared" si="1"/>
        <v>0</v>
      </c>
      <c r="V29" s="95">
        <f t="shared" si="1"/>
        <v>0</v>
      </c>
      <c r="W29" s="95">
        <f t="shared" si="1"/>
        <v>0</v>
      </c>
      <c r="X29" s="95">
        <f t="shared" si="1"/>
        <v>0</v>
      </c>
      <c r="Y29" s="95">
        <f t="shared" si="1"/>
        <v>0</v>
      </c>
      <c r="Z29" s="95">
        <f t="shared" si="1"/>
        <v>0</v>
      </c>
      <c r="AA29" s="95">
        <f t="shared" si="1"/>
        <v>-171700</v>
      </c>
      <c r="AB29" s="95">
        <f t="shared" si="1"/>
        <v>0</v>
      </c>
      <c r="AC29" s="95">
        <f t="shared" si="1"/>
        <v>-191900</v>
      </c>
      <c r="AD29" s="27" t="s">
        <v>91</v>
      </c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</row>
    <row r="30" spans="1:43" ht="19.5" hidden="1" customHeight="1" x14ac:dyDescent="0.2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</row>
    <row r="31" spans="1:43" ht="19.5" hidden="1" customHeight="1" x14ac:dyDescent="0.2">
      <c r="A31" s="15"/>
      <c r="B31" s="15"/>
      <c r="C31" s="15"/>
      <c r="D31" s="15"/>
      <c r="E31" s="15"/>
      <c r="F31" s="15"/>
      <c r="G31" s="15"/>
      <c r="H31" s="15"/>
      <c r="I31" s="15"/>
      <c r="J31" s="96">
        <v>1</v>
      </c>
      <c r="K31" s="97">
        <v>2</v>
      </c>
      <c r="L31" s="97">
        <v>3</v>
      </c>
      <c r="M31" s="97">
        <v>4</v>
      </c>
      <c r="N31" s="97">
        <v>5</v>
      </c>
      <c r="O31" s="97">
        <v>6</v>
      </c>
      <c r="P31" s="97">
        <v>7</v>
      </c>
      <c r="Q31" s="97">
        <v>8</v>
      </c>
      <c r="R31" s="97">
        <v>9</v>
      </c>
      <c r="S31" s="97">
        <v>10</v>
      </c>
      <c r="T31" s="97">
        <v>11</v>
      </c>
      <c r="U31" s="97">
        <v>12</v>
      </c>
      <c r="V31" s="97">
        <v>13</v>
      </c>
      <c r="W31" s="97">
        <v>14</v>
      </c>
      <c r="X31" s="97">
        <v>15</v>
      </c>
      <c r="Y31" s="97">
        <v>16</v>
      </c>
      <c r="Z31" s="97">
        <v>17</v>
      </c>
      <c r="AA31" s="97">
        <v>18</v>
      </c>
      <c r="AB31" s="97">
        <v>19</v>
      </c>
      <c r="AC31" s="97">
        <v>20</v>
      </c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</row>
    <row r="32" spans="1:43" ht="19.5" hidden="1" customHeight="1" x14ac:dyDescent="0.2">
      <c r="A32" s="15"/>
      <c r="B32" s="15"/>
      <c r="C32" s="15"/>
      <c r="D32" s="15"/>
      <c r="E32" s="15"/>
      <c r="F32" s="15"/>
      <c r="G32" s="15"/>
      <c r="H32" s="15"/>
      <c r="I32" s="15"/>
      <c r="J32" s="98">
        <f t="shared" ref="J32:AC32" si="2">IF(J7&gt;0,1,0)</f>
        <v>0</v>
      </c>
      <c r="K32" s="99">
        <f t="shared" si="2"/>
        <v>1</v>
      </c>
      <c r="L32" s="99">
        <f t="shared" si="2"/>
        <v>0</v>
      </c>
      <c r="M32" s="99">
        <f t="shared" si="2"/>
        <v>0</v>
      </c>
      <c r="N32" s="99">
        <f t="shared" si="2"/>
        <v>0</v>
      </c>
      <c r="O32" s="99">
        <f t="shared" si="2"/>
        <v>0</v>
      </c>
      <c r="P32" s="99">
        <f t="shared" si="2"/>
        <v>0</v>
      </c>
      <c r="Q32" s="99">
        <f t="shared" si="2"/>
        <v>0</v>
      </c>
      <c r="R32" s="99">
        <f t="shared" si="2"/>
        <v>0</v>
      </c>
      <c r="S32" s="99">
        <f t="shared" si="2"/>
        <v>0</v>
      </c>
      <c r="T32" s="99">
        <f t="shared" si="2"/>
        <v>0</v>
      </c>
      <c r="U32" s="99">
        <f t="shared" si="2"/>
        <v>0</v>
      </c>
      <c r="V32" s="99">
        <f t="shared" si="2"/>
        <v>0</v>
      </c>
      <c r="W32" s="99">
        <f t="shared" si="2"/>
        <v>0</v>
      </c>
      <c r="X32" s="99">
        <f t="shared" si="2"/>
        <v>0</v>
      </c>
      <c r="Y32" s="99">
        <f t="shared" si="2"/>
        <v>0</v>
      </c>
      <c r="Z32" s="99">
        <f t="shared" si="2"/>
        <v>0</v>
      </c>
      <c r="AA32" s="99">
        <f t="shared" si="2"/>
        <v>0</v>
      </c>
      <c r="AB32" s="99">
        <f t="shared" si="2"/>
        <v>0</v>
      </c>
      <c r="AC32" s="99">
        <f t="shared" si="2"/>
        <v>0</v>
      </c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</row>
    <row r="33" spans="1:43" ht="19.5" hidden="1" customHeight="1" x14ac:dyDescent="0.2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</row>
    <row r="34" spans="1:43" ht="19.5" hidden="1" customHeight="1" x14ac:dyDescent="0.2">
      <c r="A34" s="15"/>
      <c r="B34" s="15"/>
      <c r="C34" s="15"/>
      <c r="D34" s="15"/>
      <c r="E34" s="15"/>
      <c r="F34" s="15"/>
      <c r="G34" s="15"/>
      <c r="H34" s="15"/>
      <c r="I34" s="100" t="s">
        <v>92</v>
      </c>
      <c r="J34" s="101">
        <f>IF(Proposta!$O14="",0,Proposta!$O14)</f>
        <v>0</v>
      </c>
      <c r="K34" s="101">
        <f>Proposta!$O15</f>
        <v>3</v>
      </c>
      <c r="L34" s="101">
        <f>Proposta!$O16</f>
        <v>0</v>
      </c>
      <c r="M34" s="101">
        <f>Proposta!$O17</f>
        <v>0</v>
      </c>
      <c r="N34" s="101">
        <f>Proposta!$O18</f>
        <v>0</v>
      </c>
      <c r="O34" s="101">
        <f>Proposta!$O19</f>
        <v>0</v>
      </c>
      <c r="P34" s="101">
        <f>Proposta!$O20</f>
        <v>0</v>
      </c>
      <c r="Q34" s="101">
        <f>Proposta!$O21</f>
        <v>0</v>
      </c>
      <c r="R34" s="101">
        <f>Proposta!$O22</f>
        <v>0</v>
      </c>
      <c r="S34" s="101">
        <f>Proposta!$O23</f>
        <v>0</v>
      </c>
      <c r="T34" s="101">
        <f>Proposta!$O24</f>
        <v>0</v>
      </c>
      <c r="U34" s="101">
        <f>Proposta!$O25</f>
        <v>0</v>
      </c>
      <c r="V34" s="101">
        <f>Proposta!$O26</f>
        <v>0</v>
      </c>
      <c r="W34" s="101">
        <f>Proposta!$O27</f>
        <v>0</v>
      </c>
      <c r="X34" s="101">
        <f>Proposta!$O28</f>
        <v>0</v>
      </c>
      <c r="Y34" s="101">
        <f>Proposta!$O29</f>
        <v>0</v>
      </c>
      <c r="Z34" s="101">
        <f>Proposta!$O30</f>
        <v>0</v>
      </c>
      <c r="AA34" s="101">
        <f>Proposta!$O31</f>
        <v>0</v>
      </c>
      <c r="AB34" s="101">
        <f>Proposta!$O32</f>
        <v>0</v>
      </c>
      <c r="AC34" s="101">
        <f>Proposta!$O33</f>
        <v>0</v>
      </c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</row>
    <row r="35" spans="1:43" ht="19.5" hidden="1" customHeight="1" x14ac:dyDescent="0.2">
      <c r="A35" s="15"/>
      <c r="B35" s="15"/>
      <c r="C35" s="15"/>
      <c r="D35" s="15"/>
      <c r="E35" s="15"/>
      <c r="F35" s="15"/>
      <c r="G35" s="15"/>
      <c r="H35" s="15"/>
      <c r="I35" s="15"/>
      <c r="J35" s="102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</row>
    <row r="36" spans="1:43" ht="19.5" hidden="1" customHeight="1" x14ac:dyDescent="0.2">
      <c r="A36" s="15"/>
      <c r="B36" s="15"/>
      <c r="C36" s="15"/>
      <c r="D36" s="15"/>
      <c r="E36" s="15"/>
      <c r="F36" s="15"/>
      <c r="G36" s="15"/>
      <c r="H36" s="15"/>
      <c r="I36" s="100" t="s">
        <v>93</v>
      </c>
      <c r="J36" s="101">
        <f>IF(Proposta!$N14="",0,Proposta!$N14)</f>
        <v>0</v>
      </c>
      <c r="K36" s="101">
        <f>Proposta!$N15</f>
        <v>20</v>
      </c>
      <c r="L36" s="101">
        <f>Proposta!$N16</f>
        <v>0</v>
      </c>
      <c r="M36" s="101">
        <f>Proposta!$N17</f>
        <v>0</v>
      </c>
      <c r="N36" s="101">
        <f>Proposta!$N18</f>
        <v>0</v>
      </c>
      <c r="O36" s="101">
        <f>Proposta!$N19</f>
        <v>0</v>
      </c>
      <c r="P36" s="101">
        <f>Proposta!$N20</f>
        <v>0</v>
      </c>
      <c r="Q36" s="101">
        <f>Proposta!$N21</f>
        <v>0</v>
      </c>
      <c r="R36" s="101">
        <f>Proposta!$N22</f>
        <v>0</v>
      </c>
      <c r="S36" s="101">
        <f>Proposta!$N23</f>
        <v>0</v>
      </c>
      <c r="T36" s="101">
        <f>Proposta!$N24</f>
        <v>0</v>
      </c>
      <c r="U36" s="101">
        <f>Proposta!$N25</f>
        <v>0</v>
      </c>
      <c r="V36" s="101">
        <f>Proposta!$N26</f>
        <v>0</v>
      </c>
      <c r="W36" s="101">
        <f>Proposta!$N27</f>
        <v>0</v>
      </c>
      <c r="X36" s="101">
        <f>Proposta!$N28</f>
        <v>0</v>
      </c>
      <c r="Y36" s="101">
        <f>Proposta!$N29</f>
        <v>0</v>
      </c>
      <c r="Z36" s="101">
        <f>Proposta!$N30</f>
        <v>0</v>
      </c>
      <c r="AA36" s="101">
        <f>Proposta!$N31</f>
        <v>0</v>
      </c>
      <c r="AB36" s="101">
        <f>Proposta!$N32</f>
        <v>0</v>
      </c>
      <c r="AC36" s="101">
        <f>Proposta!$N33</f>
        <v>0</v>
      </c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</row>
    <row r="37" spans="1:43" ht="19.5" hidden="1" customHeight="1" x14ac:dyDescent="0.2">
      <c r="A37" s="15"/>
      <c r="B37" s="15"/>
      <c r="C37" s="15"/>
      <c r="D37" s="15"/>
      <c r="E37" s="15"/>
      <c r="F37" s="15"/>
      <c r="G37" s="15"/>
      <c r="H37" s="15"/>
      <c r="I37" s="15"/>
      <c r="J37" s="104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</row>
    <row r="38" spans="1:43" ht="19.5" hidden="1" customHeight="1" x14ac:dyDescent="0.2">
      <c r="A38" s="15"/>
      <c r="B38" s="15"/>
      <c r="C38" s="15"/>
      <c r="D38" s="15"/>
      <c r="E38" s="15"/>
      <c r="F38" s="15"/>
      <c r="G38" s="15"/>
      <c r="H38" s="15"/>
      <c r="I38" s="100" t="s">
        <v>94</v>
      </c>
      <c r="J38" s="101" t="str">
        <f>IF(AND(Proposta!$S14="Não",Proposta!$G14=1),"Não","Sim")</f>
        <v>Sim</v>
      </c>
      <c r="K38" s="101" t="str">
        <f>IF(AND(Proposta!$S15="Não",Proposta!$G15=1),"Não","Sim")</f>
        <v>Não</v>
      </c>
      <c r="L38" s="101" t="str">
        <f>IF(AND(Proposta!$S16="Não",Proposta!$G16=1),"Não","Sim")</f>
        <v>Sim</v>
      </c>
      <c r="M38" s="101" t="str">
        <f>IF(AND(Proposta!$S17="Não",Proposta!$G17=1),"Não","Sim")</f>
        <v>Sim</v>
      </c>
      <c r="N38" s="101" t="str">
        <f>IF(AND(Proposta!$S18="Não",Proposta!$G18=1),"Não","Sim")</f>
        <v>Sim</v>
      </c>
      <c r="O38" s="101" t="str">
        <f>IF(AND(Proposta!$S19="Não",Proposta!$G19=1),"Não","Sim")</f>
        <v>Sim</v>
      </c>
      <c r="P38" s="101" t="str">
        <f>IF(AND(Proposta!$S20="Não",Proposta!$G20=1),"Não","Sim")</f>
        <v>Sim</v>
      </c>
      <c r="Q38" s="101" t="str">
        <f>IF(AND(Proposta!$S21="Não",Proposta!$G21=1),"Não","Sim")</f>
        <v>Sim</v>
      </c>
      <c r="R38" s="101" t="str">
        <f>IF(AND(Proposta!$S22="Não",Proposta!$G22=1),"Não","Sim")</f>
        <v>Sim</v>
      </c>
      <c r="S38" s="101" t="str">
        <f>IF(AND(Proposta!$S23="Não",Proposta!$G23=1),"Não","Sim")</f>
        <v>Sim</v>
      </c>
      <c r="T38" s="101" t="str">
        <f>IF(AND(Proposta!$S24="Não",Proposta!$G24=1),"Não","Sim")</f>
        <v>Sim</v>
      </c>
      <c r="U38" s="101" t="str">
        <f>IF(AND(Proposta!$S25="Não",Proposta!$G25=1),"Não","Sim")</f>
        <v>Sim</v>
      </c>
      <c r="V38" s="101" t="str">
        <f>IF(AND(Proposta!$S26="Não",Proposta!$G26=1),"Não","Sim")</f>
        <v>Sim</v>
      </c>
      <c r="W38" s="101" t="str">
        <f>IF(AND(Proposta!$S27="Não",Proposta!$G27=1),"Não","Sim")</f>
        <v>Sim</v>
      </c>
      <c r="X38" s="101" t="str">
        <f>IF(AND(Proposta!$S28="Não",Proposta!$G28=1),"Não","Sim")</f>
        <v>Sim</v>
      </c>
      <c r="Y38" s="101" t="str">
        <f>IF(AND(Proposta!$S29="Não",Proposta!$G29=1),"Não","Sim")</f>
        <v>Sim</v>
      </c>
      <c r="Z38" s="101" t="str">
        <f>IF(AND(Proposta!$S30="Não",Proposta!$G30=1),"Não","Sim")</f>
        <v>Sim</v>
      </c>
      <c r="AA38" s="101" t="str">
        <f>IF(AND(Proposta!$S31="Não",Proposta!$G31=1),"Não","Sim")</f>
        <v>Sim</v>
      </c>
      <c r="AB38" s="101" t="str">
        <f>IF(AND(Proposta!$S32="Não",Proposta!$G32=1),"Não","Sim")</f>
        <v>Sim</v>
      </c>
      <c r="AC38" s="101" t="str">
        <f>IF(AND(Proposta!$S33="Não",Proposta!$G33=1),"Não","Sim")</f>
        <v>Sim</v>
      </c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</row>
    <row r="39" spans="1:43" ht="19.5" hidden="1" customHeight="1" x14ac:dyDescent="0.2">
      <c r="A39" s="15"/>
      <c r="B39" s="15"/>
      <c r="C39" s="15"/>
      <c r="D39" s="15"/>
      <c r="E39" s="15"/>
      <c r="F39" s="15"/>
      <c r="G39" s="15"/>
      <c r="H39" s="15"/>
      <c r="I39" s="100" t="s">
        <v>95</v>
      </c>
      <c r="J39" s="101">
        <f t="shared" ref="J39:AC39" si="3">COUNTIF(J8:J27,"&gt;0")</f>
        <v>0</v>
      </c>
      <c r="K39" s="101">
        <f t="shared" si="3"/>
        <v>17</v>
      </c>
      <c r="L39" s="101">
        <f t="shared" si="3"/>
        <v>5</v>
      </c>
      <c r="M39" s="101">
        <f t="shared" si="3"/>
        <v>0</v>
      </c>
      <c r="N39" s="101">
        <f t="shared" si="3"/>
        <v>4</v>
      </c>
      <c r="O39" s="101">
        <f t="shared" si="3"/>
        <v>0</v>
      </c>
      <c r="P39" s="101">
        <f t="shared" si="3"/>
        <v>4</v>
      </c>
      <c r="Q39" s="101">
        <f t="shared" si="3"/>
        <v>0</v>
      </c>
      <c r="R39" s="101">
        <f t="shared" si="3"/>
        <v>7</v>
      </c>
      <c r="S39" s="101">
        <f t="shared" si="3"/>
        <v>0</v>
      </c>
      <c r="T39" s="101">
        <f t="shared" si="3"/>
        <v>10</v>
      </c>
      <c r="U39" s="101">
        <f t="shared" si="3"/>
        <v>0</v>
      </c>
      <c r="V39" s="101">
        <f t="shared" si="3"/>
        <v>0</v>
      </c>
      <c r="W39" s="101">
        <f t="shared" si="3"/>
        <v>0</v>
      </c>
      <c r="X39" s="101">
        <f t="shared" si="3"/>
        <v>0</v>
      </c>
      <c r="Y39" s="101">
        <f t="shared" si="3"/>
        <v>0</v>
      </c>
      <c r="Z39" s="101">
        <f t="shared" si="3"/>
        <v>0</v>
      </c>
      <c r="AA39" s="101">
        <f t="shared" si="3"/>
        <v>16</v>
      </c>
      <c r="AB39" s="101">
        <f t="shared" si="3"/>
        <v>0</v>
      </c>
      <c r="AC39" s="101">
        <f t="shared" si="3"/>
        <v>19</v>
      </c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</row>
    <row r="40" spans="1:43" ht="19.5" hidden="1" customHeight="1" x14ac:dyDescent="0.2">
      <c r="A40" s="15"/>
      <c r="B40" s="15"/>
      <c r="C40" s="15"/>
      <c r="D40" s="15"/>
      <c r="E40" s="15"/>
      <c r="F40" s="15"/>
      <c r="G40" s="15"/>
      <c r="H40" s="15"/>
      <c r="I40" s="100" t="s">
        <v>96</v>
      </c>
      <c r="J40" s="105">
        <f>'Teste-carência'!J28</f>
        <v>20</v>
      </c>
      <c r="K40" s="105">
        <f>'Teste-carência'!K28</f>
        <v>3</v>
      </c>
      <c r="L40" s="105">
        <f>'Teste-carência'!L28</f>
        <v>2</v>
      </c>
      <c r="M40" s="105">
        <f>'Teste-carência'!M28</f>
        <v>20</v>
      </c>
      <c r="N40" s="105">
        <f>'Teste-carência'!N28</f>
        <v>1</v>
      </c>
      <c r="O40" s="105">
        <f>'Teste-carência'!O28</f>
        <v>20</v>
      </c>
      <c r="P40" s="105">
        <f>'Teste-carência'!P28</f>
        <v>3</v>
      </c>
      <c r="Q40" s="105">
        <f>'Teste-carência'!Q28</f>
        <v>20</v>
      </c>
      <c r="R40" s="105">
        <f>'Teste-carência'!R28</f>
        <v>2</v>
      </c>
      <c r="S40" s="105">
        <f>'Teste-carência'!S28</f>
        <v>20</v>
      </c>
      <c r="T40" s="105">
        <f>'Teste-carência'!T28</f>
        <v>1</v>
      </c>
      <c r="U40" s="105">
        <f>'Teste-carência'!U28</f>
        <v>20</v>
      </c>
      <c r="V40" s="105">
        <f>'Teste-carência'!V28</f>
        <v>20</v>
      </c>
      <c r="W40" s="105">
        <f>'Teste-carência'!W28</f>
        <v>20</v>
      </c>
      <c r="X40" s="105">
        <f>'Teste-carência'!X28</f>
        <v>20</v>
      </c>
      <c r="Y40" s="105">
        <f>'Teste-carência'!Y28</f>
        <v>20</v>
      </c>
      <c r="Z40" s="105">
        <f>'Teste-carência'!Z28</f>
        <v>20</v>
      </c>
      <c r="AA40" s="105">
        <f>'Teste-carência'!AA28</f>
        <v>2</v>
      </c>
      <c r="AB40" s="105">
        <f>'Teste-carência'!AB28</f>
        <v>20</v>
      </c>
      <c r="AC40" s="105">
        <f>'Teste-carência'!AC28</f>
        <v>1</v>
      </c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</row>
    <row r="41" spans="1:43" ht="19.5" hidden="1" customHeight="1" x14ac:dyDescent="0.2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</row>
    <row r="42" spans="1:43" ht="19.5" hidden="1" customHeight="1" x14ac:dyDescent="0.2">
      <c r="A42" s="15"/>
      <c r="B42" s="15"/>
      <c r="C42" s="15"/>
      <c r="D42" s="15"/>
      <c r="E42" s="15"/>
      <c r="F42" s="15"/>
      <c r="G42" s="15"/>
      <c r="H42" s="15"/>
      <c r="I42" s="100" t="s">
        <v>97</v>
      </c>
      <c r="J42" s="101">
        <f t="shared" ref="J42:AC42" si="4">IF(SUM(J39:J40)&lt;&gt;J36,1,0)</f>
        <v>1</v>
      </c>
      <c r="K42" s="101">
        <f t="shared" si="4"/>
        <v>0</v>
      </c>
      <c r="L42" s="101">
        <f t="shared" si="4"/>
        <v>1</v>
      </c>
      <c r="M42" s="101">
        <f t="shared" si="4"/>
        <v>1</v>
      </c>
      <c r="N42" s="101">
        <f t="shared" si="4"/>
        <v>1</v>
      </c>
      <c r="O42" s="101">
        <f t="shared" si="4"/>
        <v>1</v>
      </c>
      <c r="P42" s="101">
        <f t="shared" si="4"/>
        <v>1</v>
      </c>
      <c r="Q42" s="101">
        <f t="shared" si="4"/>
        <v>1</v>
      </c>
      <c r="R42" s="101">
        <f t="shared" si="4"/>
        <v>1</v>
      </c>
      <c r="S42" s="101">
        <f t="shared" si="4"/>
        <v>1</v>
      </c>
      <c r="T42" s="101">
        <f t="shared" si="4"/>
        <v>1</v>
      </c>
      <c r="U42" s="101">
        <f t="shared" si="4"/>
        <v>1</v>
      </c>
      <c r="V42" s="101">
        <f t="shared" si="4"/>
        <v>1</v>
      </c>
      <c r="W42" s="101">
        <f t="shared" si="4"/>
        <v>1</v>
      </c>
      <c r="X42" s="101">
        <f t="shared" si="4"/>
        <v>1</v>
      </c>
      <c r="Y42" s="101">
        <f t="shared" si="4"/>
        <v>1</v>
      </c>
      <c r="Z42" s="101">
        <f t="shared" si="4"/>
        <v>1</v>
      </c>
      <c r="AA42" s="101">
        <f t="shared" si="4"/>
        <v>1</v>
      </c>
      <c r="AB42" s="101">
        <f t="shared" si="4"/>
        <v>1</v>
      </c>
      <c r="AC42" s="101">
        <f t="shared" si="4"/>
        <v>1</v>
      </c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</row>
    <row r="43" spans="1:43" ht="19.5" hidden="1" customHeight="1" x14ac:dyDescent="0.2">
      <c r="A43" s="15"/>
      <c r="B43" s="15"/>
      <c r="C43" s="15"/>
      <c r="D43" s="15"/>
      <c r="E43" s="15"/>
      <c r="F43" s="15"/>
      <c r="G43" s="15"/>
      <c r="H43" s="15"/>
      <c r="I43" s="100" t="s">
        <v>96</v>
      </c>
      <c r="J43" s="105">
        <f t="shared" ref="J43:AC43" si="5">IF(J40&lt;&gt;J34,1,0)</f>
        <v>1</v>
      </c>
      <c r="K43" s="105">
        <f t="shared" si="5"/>
        <v>0</v>
      </c>
      <c r="L43" s="105">
        <f t="shared" si="5"/>
        <v>1</v>
      </c>
      <c r="M43" s="105">
        <f t="shared" si="5"/>
        <v>1</v>
      </c>
      <c r="N43" s="105">
        <f t="shared" si="5"/>
        <v>1</v>
      </c>
      <c r="O43" s="105">
        <f t="shared" si="5"/>
        <v>1</v>
      </c>
      <c r="P43" s="105">
        <f t="shared" si="5"/>
        <v>1</v>
      </c>
      <c r="Q43" s="105">
        <f t="shared" si="5"/>
        <v>1</v>
      </c>
      <c r="R43" s="105">
        <f t="shared" si="5"/>
        <v>1</v>
      </c>
      <c r="S43" s="105">
        <f t="shared" si="5"/>
        <v>1</v>
      </c>
      <c r="T43" s="105">
        <f t="shared" si="5"/>
        <v>1</v>
      </c>
      <c r="U43" s="105">
        <f t="shared" si="5"/>
        <v>1</v>
      </c>
      <c r="V43" s="105">
        <f t="shared" si="5"/>
        <v>1</v>
      </c>
      <c r="W43" s="105">
        <f t="shared" si="5"/>
        <v>1</v>
      </c>
      <c r="X43" s="105">
        <f t="shared" si="5"/>
        <v>1</v>
      </c>
      <c r="Y43" s="105">
        <f t="shared" si="5"/>
        <v>1</v>
      </c>
      <c r="Z43" s="105">
        <f t="shared" si="5"/>
        <v>1</v>
      </c>
      <c r="AA43" s="105">
        <f t="shared" si="5"/>
        <v>1</v>
      </c>
      <c r="AB43" s="105">
        <f t="shared" si="5"/>
        <v>1</v>
      </c>
      <c r="AC43" s="105">
        <f t="shared" si="5"/>
        <v>1</v>
      </c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</row>
    <row r="44" spans="1:43" ht="19.5" hidden="1" customHeight="1" x14ac:dyDescent="0.2">
      <c r="A44" s="15"/>
      <c r="B44" s="15"/>
      <c r="C44" s="15"/>
      <c r="D44" s="15"/>
      <c r="E44" s="15"/>
      <c r="F44" s="15"/>
      <c r="G44" s="15"/>
      <c r="H44" s="15"/>
      <c r="I44" s="100" t="s">
        <v>90</v>
      </c>
      <c r="J44" s="101">
        <f t="shared" ref="J44:AC44" si="6">IF(J28&lt;&gt;J7,1,0)</f>
        <v>0</v>
      </c>
      <c r="K44" s="101">
        <f t="shared" si="6"/>
        <v>0</v>
      </c>
      <c r="L44" s="101">
        <f t="shared" si="6"/>
        <v>1</v>
      </c>
      <c r="M44" s="101">
        <f t="shared" si="6"/>
        <v>0</v>
      </c>
      <c r="N44" s="101">
        <f t="shared" si="6"/>
        <v>1</v>
      </c>
      <c r="O44" s="101">
        <f t="shared" si="6"/>
        <v>0</v>
      </c>
      <c r="P44" s="101">
        <f t="shared" si="6"/>
        <v>1</v>
      </c>
      <c r="Q44" s="101">
        <f t="shared" si="6"/>
        <v>0</v>
      </c>
      <c r="R44" s="101">
        <f t="shared" si="6"/>
        <v>1</v>
      </c>
      <c r="S44" s="101">
        <f t="shared" si="6"/>
        <v>0</v>
      </c>
      <c r="T44" s="101">
        <f t="shared" si="6"/>
        <v>1</v>
      </c>
      <c r="U44" s="101">
        <f t="shared" si="6"/>
        <v>0</v>
      </c>
      <c r="V44" s="101">
        <f t="shared" si="6"/>
        <v>0</v>
      </c>
      <c r="W44" s="101">
        <f t="shared" si="6"/>
        <v>0</v>
      </c>
      <c r="X44" s="101">
        <f t="shared" si="6"/>
        <v>0</v>
      </c>
      <c r="Y44" s="101">
        <f t="shared" si="6"/>
        <v>0</v>
      </c>
      <c r="Z44" s="101">
        <f t="shared" si="6"/>
        <v>0</v>
      </c>
      <c r="AA44" s="101">
        <f t="shared" si="6"/>
        <v>1</v>
      </c>
      <c r="AB44" s="101">
        <f t="shared" si="6"/>
        <v>0</v>
      </c>
      <c r="AC44" s="101">
        <f t="shared" si="6"/>
        <v>1</v>
      </c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</row>
    <row r="45" spans="1:43" ht="19.5" hidden="1" customHeight="1" x14ac:dyDescent="0.2">
      <c r="A45" s="15"/>
      <c r="B45" s="15"/>
      <c r="C45" s="15"/>
      <c r="D45" s="15"/>
      <c r="E45" s="15"/>
      <c r="F45" s="15"/>
      <c r="G45" s="15" t="s">
        <v>98</v>
      </c>
      <c r="H45" s="15"/>
      <c r="I45" s="106" t="s">
        <v>99</v>
      </c>
      <c r="J45" s="107">
        <f>IF(Proposta!$Q14="Não Rural (Exigíveis)-Prestações Iguais",0,IF(J38="Sim",0,IF(SUM(J42:J44)&gt;0,1,0)))</f>
        <v>0</v>
      </c>
      <c r="K45" s="107">
        <f>IF(Proposta!$Q15="Não Rural (Exigíveis)-Prestações Iguais",0,IF(K38="Sim",0,IF(SUM(K42:K44)&gt;0,1,0)))</f>
        <v>0</v>
      </c>
      <c r="L45" s="107">
        <f>IF(Proposta!$Q16="Não Rural (Exigíveis)-Prestações Iguais",0,IF(L38="Sim",0,IF(SUM(L42:L44)&gt;0,1,0)))</f>
        <v>0</v>
      </c>
      <c r="M45" s="107">
        <f>IF(Proposta!$Q17="Não Rural (Exigíveis)-Prestações Iguais",0,IF(M38="Sim",0,IF(SUM(M42:M44)&gt;0,1,0)))</f>
        <v>0</v>
      </c>
      <c r="N45" s="107">
        <f>IF(Proposta!$Q18="Não Rural (Exigíveis)-Prestações Iguais",0,IF(N38="Sim",0,IF(SUM(N42:N44)&gt;0,1,0)))</f>
        <v>0</v>
      </c>
      <c r="O45" s="107">
        <f>IF(Proposta!$Q19="Não Rural (Exigíveis)-Prestações Iguais",0,IF(O38="Sim",0,IF(SUM(O42:O44)&gt;0,1,0)))</f>
        <v>0</v>
      </c>
      <c r="P45" s="107">
        <f>IF(Proposta!$Q20="Não Rural (Exigíveis)-Prestações Iguais",0,IF(P38="Sim",0,IF(SUM(P42:P44)&gt;0,1,0)))</f>
        <v>0</v>
      </c>
      <c r="Q45" s="107">
        <f>IF(Proposta!$Q21="Não Rural (Exigíveis)-Prestações Iguais",0,IF(Q38="Sim",0,IF(SUM(Q42:Q44)&gt;0,1,0)))</f>
        <v>0</v>
      </c>
      <c r="R45" s="107">
        <f>IF(Proposta!$Q22="Não Rural (Exigíveis)-Prestações Iguais",0,IF(R38="Sim",0,IF(SUM(R42:R44)&gt;0,1,0)))</f>
        <v>0</v>
      </c>
      <c r="S45" s="107">
        <f>IF(Proposta!$Q23="Não Rural (Exigíveis)-Prestações Iguais",0,IF(S38="Sim",0,IF(SUM(S42:S44)&gt;0,1,0)))</f>
        <v>0</v>
      </c>
      <c r="T45" s="107">
        <f>IF(Proposta!$Q24="Não Rural (Exigíveis)-Prestações Iguais",0,IF(T38="Sim",0,IF(SUM(T42:T44)&gt;0,1,0)))</f>
        <v>0</v>
      </c>
      <c r="U45" s="107">
        <f>IF(Proposta!$Q25="Não Rural (Exigíveis)-Prestações Iguais",0,IF(U38="Sim",0,IF(SUM(U42:U44)&gt;0,1,0)))</f>
        <v>0</v>
      </c>
      <c r="V45" s="107">
        <f>IF(Proposta!$Q26="Não Rural (Exigíveis)-Prestações Iguais",0,IF(V38="Sim",0,IF(SUM(V42:V44)&gt;0,1,0)))</f>
        <v>0</v>
      </c>
      <c r="W45" s="107">
        <f>IF(Proposta!$Q27="Não Rural (Exigíveis)-Prestações Iguais",0,IF(W38="Sim",0,IF(SUM(W42:W44)&gt;0,1,0)))</f>
        <v>0</v>
      </c>
      <c r="X45" s="107">
        <f>IF(Proposta!$Q28="Não Rural (Exigíveis)-Prestações Iguais",0,IF(X38="Sim",0,IF(SUM(X42:X44)&gt;0,1,0)))</f>
        <v>0</v>
      </c>
      <c r="Y45" s="107">
        <f>IF(Proposta!$Q29="Não Rural (Exigíveis)-Prestações Iguais",0,IF(Y38="Sim",0,IF(SUM(Y42:Y44)&gt;0,1,0)))</f>
        <v>0</v>
      </c>
      <c r="Z45" s="107">
        <f>IF(Proposta!$Q30="Não Rural (Exigíveis)-Prestações Iguais",0,IF(Z38="Sim",0,IF(SUM(Z42:Z44)&gt;0,1,0)))</f>
        <v>0</v>
      </c>
      <c r="AA45" s="107">
        <f>IF(Proposta!$Q31="Não Rural (Exigíveis)-Prestações Iguais",0,IF(AA38="Sim",0,IF(SUM(AA42:AA44)&gt;0,1,0)))</f>
        <v>0</v>
      </c>
      <c r="AB45" s="107">
        <f>IF(Proposta!$Q32="Não Rural (Exigíveis)-Prestações Iguais",0,IF(AB38="Sim",0,IF(SUM(AB42:AB44)&gt;0,1,0)))</f>
        <v>0</v>
      </c>
      <c r="AC45" s="107">
        <f>IF(Proposta!$Q33="Não Rural (Exigíveis)-Prestações Iguais",0,IF(AC38="Sim",0,IF(SUM(AC42:AC44)&gt;0,1,0)))</f>
        <v>0</v>
      </c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</row>
    <row r="46" spans="1:43" ht="19.5" hidden="1" customHeight="1" x14ac:dyDescent="0.2">
      <c r="A46" s="15"/>
      <c r="B46" s="15"/>
      <c r="C46" s="15"/>
      <c r="D46" s="15"/>
      <c r="E46" s="15"/>
      <c r="F46" s="15"/>
      <c r="G46" s="107">
        <f>SUM(J45:AC45)</f>
        <v>0</v>
      </c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</row>
    <row r="47" spans="1:43" ht="12.75" hidden="1" customHeight="1" x14ac:dyDescent="0.2">
      <c r="A47" s="15"/>
      <c r="B47" s="15"/>
      <c r="C47" s="15"/>
      <c r="D47" s="15"/>
      <c r="E47" s="15"/>
      <c r="F47" s="15"/>
      <c r="G47" s="15"/>
      <c r="H47" s="15"/>
      <c r="I47" s="15"/>
      <c r="J47" s="103" t="s">
        <v>100</v>
      </c>
      <c r="K47" s="103" t="s">
        <v>101</v>
      </c>
      <c r="L47" s="103" t="s">
        <v>102</v>
      </c>
      <c r="M47" s="103" t="s">
        <v>103</v>
      </c>
      <c r="N47" s="103" t="s">
        <v>104</v>
      </c>
      <c r="O47" s="103" t="s">
        <v>105</v>
      </c>
      <c r="P47" s="103" t="s">
        <v>106</v>
      </c>
      <c r="Q47" s="103" t="s">
        <v>107</v>
      </c>
      <c r="R47" s="103" t="s">
        <v>108</v>
      </c>
      <c r="S47" s="103" t="s">
        <v>109</v>
      </c>
      <c r="T47" s="103" t="s">
        <v>90</v>
      </c>
      <c r="U47" s="103" t="s">
        <v>110</v>
      </c>
      <c r="V47" s="103" t="s">
        <v>111</v>
      </c>
      <c r="W47" s="103" t="s">
        <v>112</v>
      </c>
      <c r="X47" s="103" t="s">
        <v>113</v>
      </c>
      <c r="Y47" s="103" t="s">
        <v>114</v>
      </c>
      <c r="Z47" s="103" t="s">
        <v>115</v>
      </c>
      <c r="AA47" s="103" t="s">
        <v>116</v>
      </c>
      <c r="AB47" s="103" t="s">
        <v>117</v>
      </c>
      <c r="AC47" s="103" t="s">
        <v>118</v>
      </c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</row>
    <row r="48" spans="1:43" ht="12.75" hidden="1" customHeight="1" x14ac:dyDescent="0.2">
      <c r="A48" s="15"/>
      <c r="B48" s="15"/>
      <c r="C48" s="15"/>
      <c r="D48" s="15"/>
      <c r="E48" s="15"/>
      <c r="F48" s="15"/>
      <c r="G48" s="15"/>
      <c r="H48" s="15"/>
      <c r="I48" s="15"/>
      <c r="J48" s="108" t="str">
        <f t="shared" ref="J48:AC48" si="7">"=SOMA("&amp;J47&amp;"8:"&amp;J47&amp;J34+7&amp;")"</f>
        <v>=SOMA(J8:J7)</v>
      </c>
      <c r="K48" s="108" t="str">
        <f t="shared" si="7"/>
        <v>=SOMA(K8:K10)</v>
      </c>
      <c r="L48" s="108" t="str">
        <f t="shared" si="7"/>
        <v>=SOMA(L8:L7)</v>
      </c>
      <c r="M48" s="108" t="str">
        <f t="shared" si="7"/>
        <v>=SOMA(M8:M7)</v>
      </c>
      <c r="N48" s="108" t="str">
        <f t="shared" si="7"/>
        <v>=SOMA(N8:N7)</v>
      </c>
      <c r="O48" s="108" t="str">
        <f t="shared" si="7"/>
        <v>=SOMA(O8:O7)</v>
      </c>
      <c r="P48" s="108" t="str">
        <f t="shared" si="7"/>
        <v>=SOMA(P8:P7)</v>
      </c>
      <c r="Q48" s="108" t="str">
        <f t="shared" si="7"/>
        <v>=SOMA(Q8:Q7)</v>
      </c>
      <c r="R48" s="108" t="str">
        <f t="shared" si="7"/>
        <v>=SOMA(R8:R7)</v>
      </c>
      <c r="S48" s="108" t="str">
        <f t="shared" si="7"/>
        <v>=SOMA(S8:S7)</v>
      </c>
      <c r="T48" s="108" t="str">
        <f t="shared" si="7"/>
        <v>=SOMA(T8:T7)</v>
      </c>
      <c r="U48" s="108" t="str">
        <f t="shared" si="7"/>
        <v>=SOMA(U8:U7)</v>
      </c>
      <c r="V48" s="108" t="str">
        <f t="shared" si="7"/>
        <v>=SOMA(V8:V7)</v>
      </c>
      <c r="W48" s="108" t="str">
        <f t="shared" si="7"/>
        <v>=SOMA(W8:W7)</v>
      </c>
      <c r="X48" s="108" t="str">
        <f t="shared" si="7"/>
        <v>=SOMA(X8:X7)</v>
      </c>
      <c r="Y48" s="108" t="str">
        <f t="shared" si="7"/>
        <v>=SOMA(Y8:Y7)</v>
      </c>
      <c r="Z48" s="108" t="str">
        <f t="shared" si="7"/>
        <v>=SOMA(Z8:Z7)</v>
      </c>
      <c r="AA48" s="108" t="str">
        <f t="shared" si="7"/>
        <v>=SOMA(AA8:AA7)</v>
      </c>
      <c r="AB48" s="108" t="str">
        <f t="shared" si="7"/>
        <v>=SOMA(AB8:AB7)</v>
      </c>
      <c r="AC48" s="108" t="str">
        <f t="shared" si="7"/>
        <v>=SOMA(AC8:AC7)</v>
      </c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</row>
    <row r="49" spans="1:43" ht="12.75" hidden="1" customHeight="1" x14ac:dyDescent="0.2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</row>
    <row r="50" spans="1:43" ht="12.75" hidden="1" customHeight="1" x14ac:dyDescent="0.2">
      <c r="A50" s="15"/>
      <c r="B50" s="15"/>
      <c r="C50" s="15"/>
      <c r="D50" s="15"/>
      <c r="E50" s="15"/>
      <c r="F50" s="15"/>
      <c r="G50" s="15" t="s">
        <v>119</v>
      </c>
      <c r="H50" s="15"/>
      <c r="I50" s="15"/>
      <c r="J50" s="103" t="str">
        <f>Proposta!$S14</f>
        <v>Sim</v>
      </c>
      <c r="K50" s="103" t="str">
        <f>Proposta!$S15</f>
        <v>Não</v>
      </c>
      <c r="L50" s="103">
        <f>Proposta!$S16</f>
        <v>0</v>
      </c>
      <c r="M50" s="103">
        <f>Proposta!$S17</f>
        <v>0</v>
      </c>
      <c r="N50" s="103">
        <f>Proposta!$S18</f>
        <v>0</v>
      </c>
      <c r="O50" s="103">
        <f>Proposta!$S19</f>
        <v>0</v>
      </c>
      <c r="P50" s="103">
        <f>Proposta!$S20</f>
        <v>0</v>
      </c>
      <c r="Q50" s="103">
        <f>Proposta!$S21</f>
        <v>0</v>
      </c>
      <c r="R50" s="103">
        <f>Proposta!$S22</f>
        <v>0</v>
      </c>
      <c r="S50" s="103">
        <f>Proposta!$S23</f>
        <v>0</v>
      </c>
      <c r="T50" s="103">
        <f>Proposta!$S24</f>
        <v>0</v>
      </c>
      <c r="U50" s="103">
        <f>Proposta!$S25</f>
        <v>0</v>
      </c>
      <c r="V50" s="103">
        <f>Proposta!$S26</f>
        <v>0</v>
      </c>
      <c r="W50" s="103">
        <f>Proposta!$S27</f>
        <v>0</v>
      </c>
      <c r="X50" s="103">
        <f>Proposta!$S28</f>
        <v>0</v>
      </c>
      <c r="Y50" s="103">
        <f>Proposta!$S29</f>
        <v>0</v>
      </c>
      <c r="Z50" s="103">
        <f>Proposta!$S30</f>
        <v>0</v>
      </c>
      <c r="AA50" s="103">
        <f>Proposta!$S31</f>
        <v>0</v>
      </c>
      <c r="AB50" s="103">
        <f>Proposta!$S32</f>
        <v>0</v>
      </c>
      <c r="AC50" s="103">
        <f>Proposta!$S33</f>
        <v>0</v>
      </c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</row>
    <row r="51" spans="1:43" ht="12.75" hidden="1" customHeight="1" x14ac:dyDescent="0.2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</row>
    <row r="52" spans="1:43" ht="12.75" customHeight="1" x14ac:dyDescent="0.2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</row>
    <row r="53" spans="1:43" ht="12.75" customHeight="1" x14ac:dyDescent="0.2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</row>
    <row r="54" spans="1:43" ht="12.75" customHeight="1" x14ac:dyDescent="0.2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</row>
    <row r="55" spans="1:43" ht="12.75" customHeight="1" x14ac:dyDescent="0.2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</row>
    <row r="56" spans="1:43" ht="12.75" customHeight="1" x14ac:dyDescent="0.2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</row>
    <row r="57" spans="1:43" ht="12.75" customHeight="1" x14ac:dyDescent="0.2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</row>
    <row r="58" spans="1:43" ht="12.75" customHeight="1" x14ac:dyDescent="0.2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</row>
    <row r="59" spans="1:43" ht="12.75" customHeight="1" x14ac:dyDescent="0.2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</row>
    <row r="60" spans="1:43" ht="12.75" customHeight="1" x14ac:dyDescent="0.2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</row>
    <row r="61" spans="1:43" ht="12.75" customHeight="1" x14ac:dyDescent="0.2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</row>
    <row r="62" spans="1:43" ht="12.75" customHeight="1" x14ac:dyDescent="0.2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</row>
    <row r="63" spans="1:43" ht="12.75" customHeight="1" x14ac:dyDescent="0.2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</row>
    <row r="64" spans="1:43" ht="12.75" customHeight="1" x14ac:dyDescent="0.2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</row>
    <row r="65" spans="1:43" ht="12.75" customHeight="1" x14ac:dyDescent="0.2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</row>
    <row r="66" spans="1:43" ht="12.75" customHeight="1" x14ac:dyDescent="0.2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</row>
    <row r="67" spans="1:43" ht="12.75" customHeight="1" x14ac:dyDescent="0.2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</row>
    <row r="68" spans="1:43" ht="12.75" customHeight="1" x14ac:dyDescent="0.2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</row>
    <row r="69" spans="1:43" ht="12.75" customHeight="1" x14ac:dyDescent="0.2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</row>
    <row r="70" spans="1:43" ht="12.75" customHeight="1" x14ac:dyDescent="0.2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</row>
    <row r="71" spans="1:43" ht="12.75" customHeight="1" x14ac:dyDescent="0.2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</row>
    <row r="72" spans="1:43" ht="12.75" customHeight="1" x14ac:dyDescent="0.2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</row>
    <row r="73" spans="1:43" ht="12.75" customHeight="1" x14ac:dyDescent="0.2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</row>
    <row r="74" spans="1:43" ht="12.75" customHeight="1" x14ac:dyDescent="0.2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</row>
    <row r="75" spans="1:43" ht="12.75" customHeight="1" x14ac:dyDescent="0.2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</row>
    <row r="76" spans="1:43" ht="12.75" customHeight="1" x14ac:dyDescent="0.2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</row>
    <row r="77" spans="1:43" ht="12.75" customHeight="1" x14ac:dyDescent="0.2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</row>
    <row r="78" spans="1:43" ht="12.75" customHeight="1" x14ac:dyDescent="0.2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</row>
    <row r="79" spans="1:43" ht="12.75" customHeight="1" x14ac:dyDescent="0.2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</row>
    <row r="80" spans="1:43" ht="12.75" customHeight="1" x14ac:dyDescent="0.2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</row>
    <row r="81" spans="1:43" ht="12.75" customHeight="1" x14ac:dyDescent="0.2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</row>
    <row r="82" spans="1:43" ht="12.75" customHeight="1" x14ac:dyDescent="0.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</row>
    <row r="83" spans="1:43" ht="12.75" customHeight="1" x14ac:dyDescent="0.2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</row>
    <row r="84" spans="1:43" ht="12.75" customHeight="1" x14ac:dyDescent="0.2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</row>
    <row r="85" spans="1:43" ht="12.75" customHeight="1" x14ac:dyDescent="0.2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</row>
    <row r="86" spans="1:43" ht="12.75" customHeight="1" x14ac:dyDescent="0.2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</row>
    <row r="87" spans="1:43" ht="12.75" customHeight="1" x14ac:dyDescent="0.2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</row>
    <row r="88" spans="1:43" ht="12.75" customHeight="1" x14ac:dyDescent="0.2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</row>
    <row r="89" spans="1:43" ht="12.75" customHeight="1" x14ac:dyDescent="0.2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</row>
    <row r="90" spans="1:43" ht="12.75" customHeight="1" x14ac:dyDescent="0.2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</row>
    <row r="91" spans="1:43" ht="12.75" customHeight="1" x14ac:dyDescent="0.2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</row>
    <row r="92" spans="1:43" ht="12.75" customHeight="1" x14ac:dyDescent="0.2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</row>
    <row r="93" spans="1:43" ht="12.75" customHeight="1" x14ac:dyDescent="0.2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</row>
    <row r="94" spans="1:43" ht="12.75" customHeight="1" x14ac:dyDescent="0.2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</row>
    <row r="95" spans="1:43" ht="12.75" customHeight="1" x14ac:dyDescent="0.2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</row>
    <row r="96" spans="1:43" ht="12.75" customHeight="1" x14ac:dyDescent="0.2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</row>
    <row r="97" spans="1:43" ht="12.75" customHeight="1" x14ac:dyDescent="0.2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</row>
    <row r="98" spans="1:43" ht="12.75" customHeight="1" x14ac:dyDescent="0.2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</row>
    <row r="99" spans="1:43" ht="12.75" customHeight="1" x14ac:dyDescent="0.2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</row>
    <row r="100" spans="1:43" ht="12.75" customHeight="1" x14ac:dyDescent="0.2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</row>
    <row r="101" spans="1:43" ht="12.75" customHeight="1" x14ac:dyDescent="0.2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</row>
    <row r="102" spans="1:43" ht="12.75" customHeight="1" x14ac:dyDescent="0.2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</row>
    <row r="103" spans="1:43" ht="12.75" customHeight="1" x14ac:dyDescent="0.2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</row>
    <row r="104" spans="1:43" ht="12.75" customHeight="1" x14ac:dyDescent="0.2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</row>
    <row r="105" spans="1:43" ht="12.75" customHeight="1" x14ac:dyDescent="0.2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</row>
    <row r="106" spans="1:43" ht="12.75" customHeight="1" x14ac:dyDescent="0.2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</row>
    <row r="107" spans="1:43" ht="12.75" customHeight="1" x14ac:dyDescent="0.2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</row>
    <row r="108" spans="1:43" ht="12.75" customHeight="1" x14ac:dyDescent="0.2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</row>
    <row r="109" spans="1:43" ht="12.75" customHeight="1" x14ac:dyDescent="0.2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</row>
    <row r="110" spans="1:43" ht="12.75" customHeight="1" x14ac:dyDescent="0.2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</row>
    <row r="111" spans="1:43" ht="12.75" customHeight="1" x14ac:dyDescent="0.2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</row>
    <row r="112" spans="1:43" ht="12.75" customHeight="1" x14ac:dyDescent="0.2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</row>
    <row r="113" spans="1:43" ht="12.75" customHeight="1" x14ac:dyDescent="0.2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</row>
    <row r="114" spans="1:43" ht="12.75" customHeight="1" x14ac:dyDescent="0.2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</row>
    <row r="115" spans="1:43" ht="12.75" customHeight="1" x14ac:dyDescent="0.2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</row>
    <row r="116" spans="1:43" ht="12.75" customHeight="1" x14ac:dyDescent="0.2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</row>
    <row r="117" spans="1:43" ht="12.75" customHeight="1" x14ac:dyDescent="0.2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</row>
    <row r="118" spans="1:43" ht="12.75" customHeight="1" x14ac:dyDescent="0.2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</row>
    <row r="119" spans="1:43" ht="12.75" customHeight="1" x14ac:dyDescent="0.2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</row>
    <row r="120" spans="1:43" ht="12.75" customHeight="1" x14ac:dyDescent="0.2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</row>
    <row r="121" spans="1:43" ht="12.75" customHeight="1" x14ac:dyDescent="0.2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</row>
    <row r="122" spans="1:43" ht="12.75" customHeight="1" x14ac:dyDescent="0.2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</row>
    <row r="123" spans="1:43" ht="12.75" customHeight="1" x14ac:dyDescent="0.2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</row>
    <row r="124" spans="1:43" ht="12.75" customHeight="1" x14ac:dyDescent="0.2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</row>
    <row r="125" spans="1:43" ht="12.75" customHeight="1" x14ac:dyDescent="0.2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</row>
    <row r="126" spans="1:43" ht="12.75" customHeight="1" x14ac:dyDescent="0.2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</row>
    <row r="127" spans="1:43" ht="12.75" customHeight="1" x14ac:dyDescent="0.2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</row>
    <row r="128" spans="1:43" ht="12.75" customHeight="1" x14ac:dyDescent="0.2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</row>
    <row r="129" spans="1:43" ht="12.75" customHeight="1" x14ac:dyDescent="0.2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</row>
    <row r="130" spans="1:43" ht="12.75" customHeight="1" x14ac:dyDescent="0.2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</row>
    <row r="131" spans="1:43" ht="12.75" customHeight="1" x14ac:dyDescent="0.2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</row>
    <row r="132" spans="1:43" ht="12.75" customHeight="1" x14ac:dyDescent="0.2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</row>
    <row r="133" spans="1:43" ht="12.75" customHeight="1" x14ac:dyDescent="0.2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</row>
    <row r="134" spans="1:43" ht="12.75" customHeight="1" x14ac:dyDescent="0.2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</row>
    <row r="135" spans="1:43" ht="12.75" customHeight="1" x14ac:dyDescent="0.2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</row>
    <row r="136" spans="1:43" ht="12.75" customHeight="1" x14ac:dyDescent="0.2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</row>
    <row r="137" spans="1:43" ht="12.75" customHeight="1" x14ac:dyDescent="0.2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</row>
    <row r="138" spans="1:43" ht="12.75" customHeight="1" x14ac:dyDescent="0.2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</row>
    <row r="139" spans="1:43" ht="12.75" customHeight="1" x14ac:dyDescent="0.2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</row>
    <row r="140" spans="1:43" ht="12.75" customHeight="1" x14ac:dyDescent="0.2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</row>
    <row r="141" spans="1:43" ht="12.75" customHeight="1" x14ac:dyDescent="0.2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</row>
    <row r="142" spans="1:43" ht="12.75" customHeight="1" x14ac:dyDescent="0.2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</row>
    <row r="143" spans="1:43" ht="12.75" customHeight="1" x14ac:dyDescent="0.2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</row>
    <row r="144" spans="1:43" ht="12.75" customHeight="1" x14ac:dyDescent="0.2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</row>
    <row r="145" spans="1:43" ht="12.75" customHeight="1" x14ac:dyDescent="0.2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</row>
    <row r="146" spans="1:43" ht="12.75" customHeight="1" x14ac:dyDescent="0.2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</row>
    <row r="147" spans="1:43" ht="12.75" customHeight="1" x14ac:dyDescent="0.2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</row>
    <row r="148" spans="1:43" ht="12.75" customHeight="1" x14ac:dyDescent="0.2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</row>
    <row r="149" spans="1:43" ht="12.75" customHeight="1" x14ac:dyDescent="0.2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</row>
    <row r="150" spans="1:43" ht="12.75" customHeight="1" x14ac:dyDescent="0.2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</row>
    <row r="151" spans="1:43" ht="12.75" customHeight="1" x14ac:dyDescent="0.2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</row>
    <row r="152" spans="1:43" ht="12.75" customHeight="1" x14ac:dyDescent="0.2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</row>
    <row r="153" spans="1:43" ht="12.75" customHeight="1" x14ac:dyDescent="0.2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</row>
    <row r="154" spans="1:43" ht="12.75" customHeight="1" x14ac:dyDescent="0.2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</row>
    <row r="155" spans="1:43" ht="12.75" customHeight="1" x14ac:dyDescent="0.2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</row>
    <row r="156" spans="1:43" ht="12.75" customHeight="1" x14ac:dyDescent="0.2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</row>
    <row r="157" spans="1:43" ht="12.75" customHeight="1" x14ac:dyDescent="0.2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</row>
    <row r="158" spans="1:43" ht="12.75" customHeight="1" x14ac:dyDescent="0.2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</row>
    <row r="159" spans="1:43" ht="12.75" customHeight="1" x14ac:dyDescent="0.2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</row>
    <row r="160" spans="1:43" ht="12.75" customHeight="1" x14ac:dyDescent="0.2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</row>
    <row r="161" spans="1:43" ht="12.7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</row>
    <row r="162" spans="1:43" ht="12.7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</row>
    <row r="163" spans="1:43" ht="12.75" customHeight="1" x14ac:dyDescent="0.2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</row>
    <row r="164" spans="1:43" ht="12.75" customHeight="1" x14ac:dyDescent="0.2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</row>
    <row r="165" spans="1:43" ht="12.75" customHeight="1" x14ac:dyDescent="0.2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</row>
    <row r="166" spans="1:43" ht="12.75" customHeight="1" x14ac:dyDescent="0.2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</row>
    <row r="167" spans="1:43" ht="12.75" customHeight="1" x14ac:dyDescent="0.2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</row>
    <row r="168" spans="1:43" ht="12.75" customHeight="1" x14ac:dyDescent="0.2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</row>
    <row r="169" spans="1:43" ht="12.75" customHeight="1" x14ac:dyDescent="0.2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</row>
    <row r="170" spans="1:43" ht="12.75" customHeight="1" x14ac:dyDescent="0.2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</row>
    <row r="171" spans="1:43" ht="12.75" customHeight="1" x14ac:dyDescent="0.2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</row>
    <row r="172" spans="1:43" ht="12.75" customHeight="1" x14ac:dyDescent="0.2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</row>
    <row r="173" spans="1:43" ht="12.75" customHeight="1" x14ac:dyDescent="0.2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</row>
    <row r="174" spans="1:43" ht="12.75" customHeight="1" x14ac:dyDescent="0.2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</row>
    <row r="175" spans="1:43" ht="12.75" customHeight="1" x14ac:dyDescent="0.2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</row>
    <row r="176" spans="1:43" ht="12.75" customHeight="1" x14ac:dyDescent="0.2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</row>
    <row r="177" spans="1:43" ht="12.75" customHeight="1" x14ac:dyDescent="0.2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</row>
    <row r="178" spans="1:43" ht="12.75" customHeight="1" x14ac:dyDescent="0.2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</row>
    <row r="179" spans="1:43" ht="12.75" customHeight="1" x14ac:dyDescent="0.2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</row>
    <row r="180" spans="1:43" ht="12.75" customHeight="1" x14ac:dyDescent="0.2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</row>
    <row r="181" spans="1:43" ht="12.75" customHeight="1" x14ac:dyDescent="0.2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</row>
    <row r="182" spans="1:43" ht="12.75" customHeight="1" x14ac:dyDescent="0.2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</row>
    <row r="183" spans="1:43" ht="12.75" customHeight="1" x14ac:dyDescent="0.2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</row>
    <row r="184" spans="1:43" ht="12.75" customHeight="1" x14ac:dyDescent="0.2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</row>
    <row r="185" spans="1:43" ht="12.75" customHeight="1" x14ac:dyDescent="0.2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</row>
    <row r="186" spans="1:43" ht="12.7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</row>
    <row r="187" spans="1:43" ht="12.75" customHeight="1" x14ac:dyDescent="0.2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</row>
    <row r="188" spans="1:43" ht="12.75" customHeight="1" x14ac:dyDescent="0.2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</row>
    <row r="189" spans="1:43" ht="12.75" customHeight="1" x14ac:dyDescent="0.2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</row>
    <row r="190" spans="1:43" ht="12.75" customHeight="1" x14ac:dyDescent="0.2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</row>
    <row r="191" spans="1:43" ht="12.75" customHeight="1" x14ac:dyDescent="0.2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</row>
    <row r="192" spans="1:43" ht="12.75" customHeight="1" x14ac:dyDescent="0.2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</row>
    <row r="193" spans="1:43" ht="12.75" customHeight="1" x14ac:dyDescent="0.2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</row>
    <row r="194" spans="1:43" ht="12.75" customHeight="1" x14ac:dyDescent="0.2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</row>
    <row r="195" spans="1:43" ht="12.75" customHeight="1" x14ac:dyDescent="0.2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</row>
    <row r="196" spans="1:43" ht="12.75" customHeight="1" x14ac:dyDescent="0.2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</row>
    <row r="197" spans="1:43" ht="12.75" customHeight="1" x14ac:dyDescent="0.2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</row>
    <row r="198" spans="1:43" ht="12.75" customHeight="1" x14ac:dyDescent="0.2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</row>
    <row r="199" spans="1:43" ht="12.75" customHeight="1" x14ac:dyDescent="0.2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</row>
    <row r="200" spans="1:43" ht="12.75" customHeight="1" x14ac:dyDescent="0.2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</row>
    <row r="201" spans="1:43" ht="12.75" customHeight="1" x14ac:dyDescent="0.2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</row>
    <row r="202" spans="1:43" ht="12.75" customHeight="1" x14ac:dyDescent="0.2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</row>
    <row r="203" spans="1:43" ht="12.75" customHeight="1" x14ac:dyDescent="0.2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</row>
    <row r="204" spans="1:43" ht="12.75" customHeight="1" x14ac:dyDescent="0.2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</row>
    <row r="205" spans="1:43" ht="12.75" customHeight="1" x14ac:dyDescent="0.2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</row>
    <row r="206" spans="1:43" ht="12.75" customHeight="1" x14ac:dyDescent="0.2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</row>
    <row r="207" spans="1:43" ht="12.75" customHeight="1" x14ac:dyDescent="0.2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</row>
    <row r="208" spans="1:43" ht="12.75" customHeight="1" x14ac:dyDescent="0.2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</row>
    <row r="209" spans="1:43" ht="12.75" customHeight="1" x14ac:dyDescent="0.2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</row>
    <row r="210" spans="1:43" ht="12.75" customHeight="1" x14ac:dyDescent="0.2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</row>
    <row r="211" spans="1:43" ht="12.75" customHeight="1" x14ac:dyDescent="0.2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</row>
    <row r="212" spans="1:43" ht="12.75" customHeight="1" x14ac:dyDescent="0.2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</row>
    <row r="213" spans="1:43" ht="12.75" customHeight="1" x14ac:dyDescent="0.2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</row>
    <row r="214" spans="1:43" ht="12.75" customHeight="1" x14ac:dyDescent="0.2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</row>
    <row r="215" spans="1:43" ht="12.75" customHeight="1" x14ac:dyDescent="0.2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</row>
    <row r="216" spans="1:43" ht="12.75" customHeight="1" x14ac:dyDescent="0.2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</row>
    <row r="217" spans="1:43" ht="12.75" customHeight="1" x14ac:dyDescent="0.2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</row>
    <row r="218" spans="1:43" ht="12.7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</row>
    <row r="219" spans="1:43" ht="12.75" customHeight="1" x14ac:dyDescent="0.2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</row>
    <row r="220" spans="1:43" ht="12.75" customHeight="1" x14ac:dyDescent="0.2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</row>
    <row r="221" spans="1:43" ht="12.75" customHeight="1" x14ac:dyDescent="0.2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</row>
    <row r="222" spans="1:43" ht="12.75" customHeight="1" x14ac:dyDescent="0.2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</row>
    <row r="223" spans="1:43" ht="12.75" customHeight="1" x14ac:dyDescent="0.2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</row>
    <row r="224" spans="1:43" ht="12.75" customHeight="1" x14ac:dyDescent="0.2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</row>
    <row r="225" spans="1:43" ht="12.75" customHeight="1" x14ac:dyDescent="0.2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</row>
    <row r="226" spans="1:43" ht="12.75" customHeight="1" x14ac:dyDescent="0.2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</row>
    <row r="227" spans="1:43" ht="12.75" customHeight="1" x14ac:dyDescent="0.2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</row>
    <row r="228" spans="1:43" ht="12.75" customHeight="1" x14ac:dyDescent="0.2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</row>
    <row r="229" spans="1:43" ht="12.75" customHeight="1" x14ac:dyDescent="0.2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</row>
    <row r="230" spans="1:43" ht="12.75" customHeight="1" x14ac:dyDescent="0.2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</row>
    <row r="231" spans="1:43" ht="12.75" customHeight="1" x14ac:dyDescent="0.2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</row>
    <row r="232" spans="1:43" ht="12.75" customHeight="1" x14ac:dyDescent="0.2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</row>
    <row r="233" spans="1:43" ht="12.75" customHeight="1" x14ac:dyDescent="0.2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</row>
    <row r="234" spans="1:43" ht="12.7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</row>
    <row r="235" spans="1:43" ht="12.75" customHeight="1" x14ac:dyDescent="0.2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</row>
    <row r="236" spans="1:43" ht="12.75" customHeight="1" x14ac:dyDescent="0.2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</row>
    <row r="237" spans="1:43" ht="12.75" customHeight="1" x14ac:dyDescent="0.2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</row>
    <row r="238" spans="1:43" ht="12.75" customHeight="1" x14ac:dyDescent="0.2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</row>
    <row r="239" spans="1:43" ht="12.75" customHeight="1" x14ac:dyDescent="0.2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</row>
    <row r="240" spans="1:43" ht="12.75" customHeight="1" x14ac:dyDescent="0.2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</row>
    <row r="241" spans="1:43" ht="12.75" customHeight="1" x14ac:dyDescent="0.2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</row>
    <row r="242" spans="1:43" ht="12.75" customHeight="1" x14ac:dyDescent="0.2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</row>
    <row r="243" spans="1:43" ht="12.75" customHeight="1" x14ac:dyDescent="0.2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</row>
    <row r="244" spans="1:43" ht="12.75" customHeight="1" x14ac:dyDescent="0.2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</row>
    <row r="245" spans="1:43" ht="12.75" customHeight="1" x14ac:dyDescent="0.2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</row>
    <row r="246" spans="1:43" ht="12.75" customHeight="1" x14ac:dyDescent="0.2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</row>
    <row r="247" spans="1:43" ht="12.75" customHeight="1" x14ac:dyDescent="0.2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</row>
    <row r="248" spans="1:43" ht="12.75" customHeight="1" x14ac:dyDescent="0.2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</row>
    <row r="249" spans="1:43" ht="12.75" customHeight="1" x14ac:dyDescent="0.2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</row>
    <row r="250" spans="1:43" ht="12.7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</row>
    <row r="251" spans="1:43" ht="12.75" customHeight="1" x14ac:dyDescent="0.2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</row>
    <row r="252" spans="1:43" ht="12.75" customHeight="1" x14ac:dyDescent="0.2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</row>
    <row r="253" spans="1:43" ht="12.75" customHeight="1" x14ac:dyDescent="0.2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</row>
    <row r="254" spans="1:43" ht="12.75" customHeight="1" x14ac:dyDescent="0.2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</row>
    <row r="255" spans="1:43" ht="12.75" customHeight="1" x14ac:dyDescent="0.2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</row>
    <row r="256" spans="1:43" ht="12.75" customHeight="1" x14ac:dyDescent="0.2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</row>
    <row r="257" spans="1:43" ht="12.75" customHeight="1" x14ac:dyDescent="0.2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</row>
    <row r="258" spans="1:43" ht="12.75" customHeight="1" x14ac:dyDescent="0.2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</row>
    <row r="259" spans="1:43" ht="12.75" customHeight="1" x14ac:dyDescent="0.2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</row>
    <row r="260" spans="1:43" ht="12.75" customHeight="1" x14ac:dyDescent="0.2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</row>
    <row r="261" spans="1:43" ht="12.75" customHeight="1" x14ac:dyDescent="0.2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</row>
    <row r="262" spans="1:43" ht="12.75" customHeight="1" x14ac:dyDescent="0.2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</row>
    <row r="263" spans="1:43" ht="12.75" customHeight="1" x14ac:dyDescent="0.2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</row>
    <row r="264" spans="1:43" ht="12.75" customHeight="1" x14ac:dyDescent="0.2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</row>
    <row r="265" spans="1:43" ht="12.75" customHeight="1" x14ac:dyDescent="0.2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</row>
    <row r="266" spans="1:43" ht="12.75" customHeight="1" x14ac:dyDescent="0.2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</row>
    <row r="267" spans="1:43" ht="12.75" customHeight="1" x14ac:dyDescent="0.2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</row>
    <row r="268" spans="1:43" ht="12.75" customHeight="1" x14ac:dyDescent="0.2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</row>
    <row r="269" spans="1:43" ht="12.75" customHeight="1" x14ac:dyDescent="0.2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</row>
    <row r="270" spans="1:43" ht="12.75" customHeight="1" x14ac:dyDescent="0.2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</row>
    <row r="271" spans="1:43" ht="12.75" customHeight="1" x14ac:dyDescent="0.2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</row>
    <row r="272" spans="1:43" ht="12.75" customHeight="1" x14ac:dyDescent="0.2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</row>
    <row r="273" spans="1:43" ht="12.75" customHeight="1" x14ac:dyDescent="0.2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</row>
    <row r="274" spans="1:43" ht="12.75" customHeight="1" x14ac:dyDescent="0.2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</row>
    <row r="275" spans="1:43" ht="12.75" customHeight="1" x14ac:dyDescent="0.2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</row>
    <row r="276" spans="1:43" ht="12.75" customHeight="1" x14ac:dyDescent="0.2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</row>
    <row r="277" spans="1:43" ht="12.75" customHeight="1" x14ac:dyDescent="0.2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</row>
    <row r="278" spans="1:43" ht="12.75" customHeight="1" x14ac:dyDescent="0.2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</row>
    <row r="279" spans="1:43" ht="12.75" customHeight="1" x14ac:dyDescent="0.2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</row>
    <row r="280" spans="1:43" ht="12.75" customHeight="1" x14ac:dyDescent="0.2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</row>
    <row r="281" spans="1:43" ht="12.7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</row>
    <row r="282" spans="1:43" ht="12.7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</row>
    <row r="283" spans="1:43" ht="12.7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</row>
    <row r="284" spans="1:43" ht="12.7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</row>
    <row r="285" spans="1:43" ht="12.75" customHeight="1" x14ac:dyDescent="0.2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</row>
    <row r="286" spans="1:43" ht="12.75" customHeight="1" x14ac:dyDescent="0.2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</row>
    <row r="287" spans="1:43" ht="12.75" customHeight="1" x14ac:dyDescent="0.2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</row>
    <row r="288" spans="1:43" ht="12.75" customHeight="1" x14ac:dyDescent="0.2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</row>
    <row r="289" spans="1:43" ht="12.75" customHeight="1" x14ac:dyDescent="0.2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</row>
    <row r="290" spans="1:43" ht="12.75" customHeight="1" x14ac:dyDescent="0.2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</row>
    <row r="291" spans="1:43" ht="12.7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</row>
    <row r="292" spans="1:43" ht="12.7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</row>
    <row r="293" spans="1:43" ht="12.75" customHeight="1" x14ac:dyDescent="0.2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</row>
    <row r="294" spans="1:43" ht="12.75" customHeight="1" x14ac:dyDescent="0.2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</row>
    <row r="295" spans="1:43" ht="12.75" customHeight="1" x14ac:dyDescent="0.2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</row>
    <row r="296" spans="1:43" ht="12.75" customHeight="1" x14ac:dyDescent="0.2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</row>
    <row r="297" spans="1:43" ht="12.75" customHeight="1" x14ac:dyDescent="0.2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</row>
    <row r="298" spans="1:43" ht="12.75" customHeight="1" x14ac:dyDescent="0.2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</row>
    <row r="299" spans="1:43" ht="12.75" customHeight="1" x14ac:dyDescent="0.2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</row>
    <row r="300" spans="1:43" ht="12.75" customHeight="1" x14ac:dyDescent="0.2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</row>
    <row r="301" spans="1:43" ht="12.75" customHeight="1" x14ac:dyDescent="0.2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</row>
    <row r="302" spans="1:43" ht="12.75" customHeight="1" x14ac:dyDescent="0.2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</row>
    <row r="303" spans="1:43" ht="12.75" customHeight="1" x14ac:dyDescent="0.2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</row>
    <row r="304" spans="1:43" ht="12.75" customHeight="1" x14ac:dyDescent="0.2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</row>
    <row r="305" spans="1:43" ht="12.75" customHeight="1" x14ac:dyDescent="0.2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</row>
    <row r="306" spans="1:43" ht="12.75" customHeight="1" x14ac:dyDescent="0.2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</row>
    <row r="307" spans="1:43" ht="12.75" customHeight="1" x14ac:dyDescent="0.2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</row>
    <row r="308" spans="1:43" ht="12.75" customHeight="1" x14ac:dyDescent="0.2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</row>
    <row r="309" spans="1:43" ht="12.75" customHeight="1" x14ac:dyDescent="0.2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</row>
    <row r="310" spans="1:43" ht="12.75" customHeight="1" x14ac:dyDescent="0.2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</row>
    <row r="311" spans="1:43" ht="12.75" customHeight="1" x14ac:dyDescent="0.2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</row>
    <row r="312" spans="1:43" ht="12.75" customHeight="1" x14ac:dyDescent="0.2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</row>
    <row r="313" spans="1:43" ht="12.75" customHeight="1" x14ac:dyDescent="0.2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</row>
    <row r="314" spans="1:43" ht="12.75" customHeight="1" x14ac:dyDescent="0.2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</row>
    <row r="315" spans="1:43" ht="12.75" customHeight="1" x14ac:dyDescent="0.2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</row>
    <row r="316" spans="1:43" ht="12.75" customHeight="1" x14ac:dyDescent="0.2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</row>
    <row r="317" spans="1:43" ht="12.75" customHeight="1" x14ac:dyDescent="0.2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</row>
    <row r="318" spans="1:43" ht="12.75" customHeight="1" x14ac:dyDescent="0.2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</row>
    <row r="319" spans="1:43" ht="12.75" customHeight="1" x14ac:dyDescent="0.2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  <c r="AO319" s="62"/>
      <c r="AP319" s="62"/>
      <c r="AQ319" s="62"/>
    </row>
    <row r="320" spans="1:43" ht="12.75" customHeight="1" x14ac:dyDescent="0.2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</row>
    <row r="321" spans="1:43" ht="12.75" customHeight="1" x14ac:dyDescent="0.2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  <c r="AO321" s="62"/>
      <c r="AP321" s="62"/>
      <c r="AQ321" s="62"/>
    </row>
    <row r="322" spans="1:43" ht="12.75" customHeight="1" x14ac:dyDescent="0.2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  <c r="AO322" s="62"/>
      <c r="AP322" s="62"/>
      <c r="AQ322" s="62"/>
    </row>
    <row r="323" spans="1:43" ht="12.75" customHeight="1" x14ac:dyDescent="0.2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</row>
    <row r="324" spans="1:43" ht="12.75" customHeight="1" x14ac:dyDescent="0.2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  <c r="AO324" s="62"/>
      <c r="AP324" s="62"/>
      <c r="AQ324" s="62"/>
    </row>
    <row r="325" spans="1:43" ht="12.75" customHeight="1" x14ac:dyDescent="0.2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  <c r="AO325" s="62"/>
      <c r="AP325" s="62"/>
      <c r="AQ325" s="62"/>
    </row>
    <row r="326" spans="1:43" ht="12.75" customHeight="1" x14ac:dyDescent="0.2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</row>
    <row r="327" spans="1:43" ht="12.75" customHeight="1" x14ac:dyDescent="0.2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</row>
    <row r="328" spans="1:43" ht="12.75" customHeight="1" x14ac:dyDescent="0.2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  <c r="AO328" s="62"/>
      <c r="AP328" s="62"/>
      <c r="AQ328" s="62"/>
    </row>
    <row r="329" spans="1:43" ht="12.75" customHeight="1" x14ac:dyDescent="0.2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</row>
    <row r="330" spans="1:43" ht="12.75" customHeight="1" x14ac:dyDescent="0.2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</row>
    <row r="331" spans="1:43" ht="12.75" customHeight="1" x14ac:dyDescent="0.2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  <c r="AO331" s="62"/>
      <c r="AP331" s="62"/>
      <c r="AQ331" s="62"/>
    </row>
    <row r="332" spans="1:43" ht="12.75" customHeight="1" x14ac:dyDescent="0.2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  <c r="AO332" s="62"/>
      <c r="AP332" s="62"/>
      <c r="AQ332" s="62"/>
    </row>
    <row r="333" spans="1:43" ht="12.75" customHeight="1" x14ac:dyDescent="0.2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</row>
    <row r="334" spans="1:43" ht="12.75" customHeight="1" x14ac:dyDescent="0.2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</row>
    <row r="335" spans="1:43" ht="12.75" customHeight="1" x14ac:dyDescent="0.2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</row>
    <row r="336" spans="1:43" ht="12.75" customHeight="1" x14ac:dyDescent="0.2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</row>
    <row r="337" spans="1:43" ht="12.75" customHeight="1" x14ac:dyDescent="0.2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</row>
    <row r="338" spans="1:43" ht="12.75" customHeight="1" x14ac:dyDescent="0.2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</row>
    <row r="339" spans="1:43" ht="12.75" customHeight="1" x14ac:dyDescent="0.2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</row>
    <row r="340" spans="1:43" ht="12.75" customHeight="1" x14ac:dyDescent="0.2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</row>
    <row r="341" spans="1:43" ht="12.75" customHeight="1" x14ac:dyDescent="0.2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</row>
    <row r="342" spans="1:43" ht="12.75" customHeight="1" x14ac:dyDescent="0.2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</row>
    <row r="343" spans="1:43" ht="12.75" customHeight="1" x14ac:dyDescent="0.2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</row>
    <row r="344" spans="1:43" ht="12.75" customHeight="1" x14ac:dyDescent="0.2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</row>
    <row r="345" spans="1:43" ht="12.75" customHeight="1" x14ac:dyDescent="0.2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</row>
    <row r="346" spans="1:43" ht="12.75" customHeight="1" x14ac:dyDescent="0.2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</row>
    <row r="347" spans="1:43" ht="12.75" customHeight="1" x14ac:dyDescent="0.2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</row>
    <row r="348" spans="1:43" ht="12.75" customHeight="1" x14ac:dyDescent="0.2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</row>
    <row r="349" spans="1:43" ht="12.75" customHeight="1" x14ac:dyDescent="0.2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</row>
    <row r="350" spans="1:43" ht="12.75" customHeight="1" x14ac:dyDescent="0.2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</row>
    <row r="351" spans="1:43" ht="12.75" customHeight="1" x14ac:dyDescent="0.2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</row>
    <row r="352" spans="1:43" ht="12.75" customHeight="1" x14ac:dyDescent="0.2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</row>
    <row r="353" spans="1:43" ht="12.75" customHeight="1" x14ac:dyDescent="0.2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</row>
    <row r="354" spans="1:43" ht="12.75" customHeight="1" x14ac:dyDescent="0.2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</row>
    <row r="355" spans="1:43" ht="12.75" customHeight="1" x14ac:dyDescent="0.2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</row>
    <row r="356" spans="1:43" ht="12.75" customHeight="1" x14ac:dyDescent="0.2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</row>
    <row r="357" spans="1:43" ht="12.75" customHeight="1" x14ac:dyDescent="0.2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</row>
    <row r="358" spans="1:43" ht="12.75" customHeight="1" x14ac:dyDescent="0.2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</row>
    <row r="359" spans="1:43" ht="12.75" customHeight="1" x14ac:dyDescent="0.2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</row>
    <row r="360" spans="1:43" ht="12.75" customHeight="1" x14ac:dyDescent="0.2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</row>
    <row r="361" spans="1:43" ht="12.75" customHeight="1" x14ac:dyDescent="0.2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</row>
    <row r="362" spans="1:43" ht="12.75" customHeight="1" x14ac:dyDescent="0.2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</row>
    <row r="363" spans="1:43" ht="12.75" customHeight="1" x14ac:dyDescent="0.2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</row>
    <row r="364" spans="1:43" ht="12.75" customHeight="1" x14ac:dyDescent="0.2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</row>
    <row r="365" spans="1:43" ht="12.75" customHeight="1" x14ac:dyDescent="0.2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</row>
    <row r="366" spans="1:43" ht="12.75" customHeight="1" x14ac:dyDescent="0.2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</row>
    <row r="367" spans="1:43" ht="12.75" customHeight="1" x14ac:dyDescent="0.2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</row>
    <row r="368" spans="1:43" ht="12.75" customHeight="1" x14ac:dyDescent="0.2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</row>
    <row r="369" spans="1:43" ht="12.75" customHeight="1" x14ac:dyDescent="0.2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</row>
    <row r="370" spans="1:43" ht="12.75" customHeight="1" x14ac:dyDescent="0.2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</row>
    <row r="371" spans="1:43" ht="12.75" customHeight="1" x14ac:dyDescent="0.2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</row>
    <row r="372" spans="1:43" ht="12.75" customHeight="1" x14ac:dyDescent="0.2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</row>
    <row r="373" spans="1:43" ht="12.75" customHeight="1" x14ac:dyDescent="0.2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</row>
    <row r="374" spans="1:43" ht="12.75" customHeight="1" x14ac:dyDescent="0.2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</row>
    <row r="375" spans="1:43" ht="12.75" customHeight="1" x14ac:dyDescent="0.2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</row>
    <row r="376" spans="1:43" ht="12.75" customHeight="1" x14ac:dyDescent="0.2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</row>
    <row r="377" spans="1:43" ht="12.75" customHeight="1" x14ac:dyDescent="0.2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</row>
    <row r="378" spans="1:43" ht="12.75" customHeight="1" x14ac:dyDescent="0.2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</row>
    <row r="379" spans="1:43" ht="12.75" customHeight="1" x14ac:dyDescent="0.2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</row>
    <row r="380" spans="1:43" ht="12.75" customHeight="1" x14ac:dyDescent="0.2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</row>
    <row r="381" spans="1:43" ht="12.75" customHeight="1" x14ac:dyDescent="0.2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</row>
    <row r="382" spans="1:43" ht="12.75" customHeight="1" x14ac:dyDescent="0.2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</row>
    <row r="383" spans="1:43" ht="12.75" customHeight="1" x14ac:dyDescent="0.2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</row>
    <row r="384" spans="1:43" ht="12.75" customHeight="1" x14ac:dyDescent="0.2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</row>
    <row r="385" spans="1:43" ht="12.75" customHeight="1" x14ac:dyDescent="0.2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  <c r="AO385" s="62"/>
      <c r="AP385" s="62"/>
      <c r="AQ385" s="62"/>
    </row>
    <row r="386" spans="1:43" ht="12.75" customHeight="1" x14ac:dyDescent="0.2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  <c r="AO386" s="62"/>
      <c r="AP386" s="62"/>
      <c r="AQ386" s="62"/>
    </row>
    <row r="387" spans="1:43" ht="12.75" customHeight="1" x14ac:dyDescent="0.2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  <c r="AO387" s="62"/>
      <c r="AP387" s="62"/>
      <c r="AQ387" s="62"/>
    </row>
    <row r="388" spans="1:43" ht="12.75" customHeight="1" x14ac:dyDescent="0.2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</row>
    <row r="389" spans="1:43" ht="12.75" customHeight="1" x14ac:dyDescent="0.2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</row>
    <row r="390" spans="1:43" ht="12.75" customHeight="1" x14ac:dyDescent="0.2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</row>
    <row r="391" spans="1:43" ht="12.75" customHeight="1" x14ac:dyDescent="0.2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  <c r="AO391" s="62"/>
      <c r="AP391" s="62"/>
      <c r="AQ391" s="62"/>
    </row>
    <row r="392" spans="1:43" ht="12.75" customHeight="1" x14ac:dyDescent="0.2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</row>
    <row r="393" spans="1:43" ht="12.75" customHeight="1" x14ac:dyDescent="0.2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</row>
    <row r="394" spans="1:43" ht="12.75" customHeight="1" x14ac:dyDescent="0.2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</row>
    <row r="395" spans="1:43" ht="12.75" customHeight="1" x14ac:dyDescent="0.2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  <c r="AO395" s="62"/>
      <c r="AP395" s="62"/>
      <c r="AQ395" s="62"/>
    </row>
    <row r="396" spans="1:43" ht="12.75" customHeight="1" x14ac:dyDescent="0.2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</row>
    <row r="397" spans="1:43" ht="12.75" customHeight="1" x14ac:dyDescent="0.2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  <c r="AO397" s="62"/>
      <c r="AP397" s="62"/>
      <c r="AQ397" s="62"/>
    </row>
    <row r="398" spans="1:43" ht="12.75" customHeight="1" x14ac:dyDescent="0.2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</row>
    <row r="399" spans="1:43" ht="12.75" customHeight="1" x14ac:dyDescent="0.2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</row>
    <row r="400" spans="1:43" ht="12.75" customHeight="1" x14ac:dyDescent="0.2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</row>
    <row r="401" spans="1:43" ht="12.75" customHeight="1" x14ac:dyDescent="0.2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</row>
    <row r="402" spans="1:43" ht="12.75" customHeight="1" x14ac:dyDescent="0.2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</row>
    <row r="403" spans="1:43" ht="12.75" customHeight="1" x14ac:dyDescent="0.2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  <c r="AO403" s="62"/>
      <c r="AP403" s="62"/>
      <c r="AQ403" s="62"/>
    </row>
    <row r="404" spans="1:43" ht="12.75" customHeight="1" x14ac:dyDescent="0.2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</row>
    <row r="405" spans="1:43" ht="12.75" customHeight="1" x14ac:dyDescent="0.2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  <c r="AO405" s="62"/>
      <c r="AP405" s="62"/>
      <c r="AQ405" s="62"/>
    </row>
    <row r="406" spans="1:43" ht="12.75" customHeight="1" x14ac:dyDescent="0.2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  <c r="AO406" s="62"/>
      <c r="AP406" s="62"/>
      <c r="AQ406" s="62"/>
    </row>
    <row r="407" spans="1:43" ht="12.75" customHeight="1" x14ac:dyDescent="0.2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  <c r="AO407" s="62"/>
      <c r="AP407" s="62"/>
      <c r="AQ407" s="62"/>
    </row>
    <row r="408" spans="1:43" ht="12.75" customHeight="1" x14ac:dyDescent="0.2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</row>
    <row r="409" spans="1:43" ht="12.75" customHeight="1" x14ac:dyDescent="0.2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  <c r="AO409" s="62"/>
      <c r="AP409" s="62"/>
      <c r="AQ409" s="62"/>
    </row>
    <row r="410" spans="1:43" ht="12.75" customHeight="1" x14ac:dyDescent="0.2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  <c r="AO410" s="62"/>
      <c r="AP410" s="62"/>
      <c r="AQ410" s="62"/>
    </row>
    <row r="411" spans="1:43" ht="12.75" customHeight="1" x14ac:dyDescent="0.2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  <c r="AO411" s="62"/>
      <c r="AP411" s="62"/>
      <c r="AQ411" s="62"/>
    </row>
    <row r="412" spans="1:43" ht="12.75" customHeight="1" x14ac:dyDescent="0.2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  <c r="AO412" s="62"/>
      <c r="AP412" s="62"/>
      <c r="AQ412" s="62"/>
    </row>
    <row r="413" spans="1:43" ht="12.75" customHeight="1" x14ac:dyDescent="0.2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</row>
    <row r="414" spans="1:43" ht="12.75" customHeight="1" x14ac:dyDescent="0.2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</row>
    <row r="415" spans="1:43" ht="12.75" customHeight="1" x14ac:dyDescent="0.2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</row>
    <row r="416" spans="1:43" ht="12.75" customHeight="1" x14ac:dyDescent="0.2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</row>
    <row r="417" spans="1:43" ht="12.75" customHeight="1" x14ac:dyDescent="0.2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</row>
    <row r="418" spans="1:43" ht="12.75" customHeight="1" x14ac:dyDescent="0.2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</row>
    <row r="419" spans="1:43" ht="12.75" customHeight="1" x14ac:dyDescent="0.2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</row>
    <row r="420" spans="1:43" ht="12.75" customHeight="1" x14ac:dyDescent="0.2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  <c r="AO420" s="62"/>
      <c r="AP420" s="62"/>
      <c r="AQ420" s="62"/>
    </row>
    <row r="421" spans="1:43" ht="12.75" customHeight="1" x14ac:dyDescent="0.2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  <c r="AO421" s="62"/>
      <c r="AP421" s="62"/>
      <c r="AQ421" s="62"/>
    </row>
    <row r="422" spans="1:43" ht="12.75" customHeight="1" x14ac:dyDescent="0.2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</row>
    <row r="423" spans="1:43" ht="12.75" customHeight="1" x14ac:dyDescent="0.2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  <c r="AO423" s="62"/>
      <c r="AP423" s="62"/>
      <c r="AQ423" s="62"/>
    </row>
    <row r="424" spans="1:43" ht="12.75" customHeight="1" x14ac:dyDescent="0.2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  <c r="AO424" s="62"/>
      <c r="AP424" s="62"/>
      <c r="AQ424" s="62"/>
    </row>
    <row r="425" spans="1:43" ht="12.75" customHeight="1" x14ac:dyDescent="0.2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  <c r="AO425" s="62"/>
      <c r="AP425" s="62"/>
      <c r="AQ425" s="62"/>
    </row>
    <row r="426" spans="1:43" ht="12.75" customHeight="1" x14ac:dyDescent="0.2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  <c r="AO426" s="62"/>
      <c r="AP426" s="62"/>
      <c r="AQ426" s="62"/>
    </row>
    <row r="427" spans="1:43" ht="12.75" customHeight="1" x14ac:dyDescent="0.2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  <c r="AO427" s="62"/>
      <c r="AP427" s="62"/>
      <c r="AQ427" s="62"/>
    </row>
    <row r="428" spans="1:43" ht="12.75" customHeight="1" x14ac:dyDescent="0.2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  <c r="AO428" s="62"/>
      <c r="AP428" s="62"/>
      <c r="AQ428" s="62"/>
    </row>
    <row r="429" spans="1:43" ht="12.75" customHeight="1" x14ac:dyDescent="0.2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  <c r="AO429" s="62"/>
      <c r="AP429" s="62"/>
      <c r="AQ429" s="62"/>
    </row>
    <row r="430" spans="1:43" ht="12.75" customHeight="1" x14ac:dyDescent="0.2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  <c r="AO430" s="62"/>
      <c r="AP430" s="62"/>
      <c r="AQ430" s="62"/>
    </row>
    <row r="431" spans="1:43" ht="12.75" customHeight="1" x14ac:dyDescent="0.2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  <c r="AO431" s="62"/>
      <c r="AP431" s="62"/>
      <c r="AQ431" s="62"/>
    </row>
    <row r="432" spans="1:43" ht="12.75" customHeight="1" x14ac:dyDescent="0.2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  <c r="AO432" s="62"/>
      <c r="AP432" s="62"/>
      <c r="AQ432" s="62"/>
    </row>
    <row r="433" spans="1:43" ht="12.75" customHeight="1" x14ac:dyDescent="0.2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  <c r="AO433" s="62"/>
      <c r="AP433" s="62"/>
      <c r="AQ433" s="62"/>
    </row>
    <row r="434" spans="1:43" ht="12.75" customHeight="1" x14ac:dyDescent="0.2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  <c r="AO434" s="62"/>
      <c r="AP434" s="62"/>
      <c r="AQ434" s="62"/>
    </row>
    <row r="435" spans="1:43" ht="12.75" customHeight="1" x14ac:dyDescent="0.2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  <c r="AO435" s="62"/>
      <c r="AP435" s="62"/>
      <c r="AQ435" s="62"/>
    </row>
    <row r="436" spans="1:43" ht="12.75" customHeight="1" x14ac:dyDescent="0.2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  <c r="AO436" s="62"/>
      <c r="AP436" s="62"/>
      <c r="AQ436" s="62"/>
    </row>
    <row r="437" spans="1:43" ht="12.75" customHeight="1" x14ac:dyDescent="0.2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  <c r="AO437" s="62"/>
      <c r="AP437" s="62"/>
      <c r="AQ437" s="62"/>
    </row>
    <row r="438" spans="1:43" ht="12.75" customHeight="1" x14ac:dyDescent="0.2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  <c r="AO438" s="62"/>
      <c r="AP438" s="62"/>
      <c r="AQ438" s="62"/>
    </row>
    <row r="439" spans="1:43" ht="12.75" customHeight="1" x14ac:dyDescent="0.2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</row>
    <row r="440" spans="1:43" ht="12.75" customHeight="1" x14ac:dyDescent="0.2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  <c r="AO440" s="62"/>
      <c r="AP440" s="62"/>
      <c r="AQ440" s="62"/>
    </row>
    <row r="441" spans="1:43" ht="12.75" customHeight="1" x14ac:dyDescent="0.2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  <c r="AO441" s="62"/>
      <c r="AP441" s="62"/>
      <c r="AQ441" s="62"/>
    </row>
    <row r="442" spans="1:43" ht="12.75" customHeight="1" x14ac:dyDescent="0.2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  <c r="AO442" s="62"/>
      <c r="AP442" s="62"/>
      <c r="AQ442" s="62"/>
    </row>
    <row r="443" spans="1:43" ht="12.75" customHeight="1" x14ac:dyDescent="0.2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  <c r="AO443" s="62"/>
      <c r="AP443" s="62"/>
      <c r="AQ443" s="62"/>
    </row>
    <row r="444" spans="1:43" ht="12.75" customHeight="1" x14ac:dyDescent="0.2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  <c r="AO444" s="62"/>
      <c r="AP444" s="62"/>
      <c r="AQ444" s="62"/>
    </row>
    <row r="445" spans="1:43" ht="12.75" customHeight="1" x14ac:dyDescent="0.2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  <c r="AO445" s="62"/>
      <c r="AP445" s="62"/>
      <c r="AQ445" s="62"/>
    </row>
    <row r="446" spans="1:43" ht="12.75" customHeight="1" x14ac:dyDescent="0.2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  <c r="AO446" s="62"/>
      <c r="AP446" s="62"/>
      <c r="AQ446" s="62"/>
    </row>
    <row r="447" spans="1:43" ht="12.75" customHeight="1" x14ac:dyDescent="0.2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</row>
    <row r="448" spans="1:43" ht="12.75" customHeight="1" x14ac:dyDescent="0.2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  <c r="AO448" s="62"/>
      <c r="AP448" s="62"/>
      <c r="AQ448" s="62"/>
    </row>
    <row r="449" spans="1:43" ht="12.75" customHeight="1" x14ac:dyDescent="0.2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  <c r="AO449" s="62"/>
      <c r="AP449" s="62"/>
      <c r="AQ449" s="62"/>
    </row>
    <row r="450" spans="1:43" ht="12.75" customHeight="1" x14ac:dyDescent="0.2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  <c r="AO450" s="62"/>
      <c r="AP450" s="62"/>
      <c r="AQ450" s="62"/>
    </row>
    <row r="451" spans="1:43" ht="12.75" customHeight="1" x14ac:dyDescent="0.2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  <c r="AM451" s="62"/>
      <c r="AN451" s="62"/>
      <c r="AO451" s="62"/>
      <c r="AP451" s="62"/>
      <c r="AQ451" s="62"/>
    </row>
    <row r="452" spans="1:43" ht="12.75" customHeight="1" x14ac:dyDescent="0.2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  <c r="AM452" s="62"/>
      <c r="AN452" s="62"/>
      <c r="AO452" s="62"/>
      <c r="AP452" s="62"/>
      <c r="AQ452" s="62"/>
    </row>
    <row r="453" spans="1:43" ht="12.75" customHeight="1" x14ac:dyDescent="0.2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  <c r="AO453" s="62"/>
      <c r="AP453" s="62"/>
      <c r="AQ453" s="62"/>
    </row>
    <row r="454" spans="1:43" ht="12.75" customHeight="1" x14ac:dyDescent="0.2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  <c r="AO454" s="62"/>
      <c r="AP454" s="62"/>
      <c r="AQ454" s="62"/>
    </row>
    <row r="455" spans="1:43" ht="12.75" customHeight="1" x14ac:dyDescent="0.2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  <c r="AO455" s="62"/>
      <c r="AP455" s="62"/>
      <c r="AQ455" s="62"/>
    </row>
    <row r="456" spans="1:43" ht="12.75" customHeight="1" x14ac:dyDescent="0.2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  <c r="AM456" s="62"/>
      <c r="AN456" s="62"/>
      <c r="AO456" s="62"/>
      <c r="AP456" s="62"/>
      <c r="AQ456" s="62"/>
    </row>
    <row r="457" spans="1:43" ht="12.75" customHeight="1" x14ac:dyDescent="0.2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  <c r="AO457" s="62"/>
      <c r="AP457" s="62"/>
      <c r="AQ457" s="62"/>
    </row>
    <row r="458" spans="1:43" ht="12.75" customHeight="1" x14ac:dyDescent="0.2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  <c r="AO458" s="62"/>
      <c r="AP458" s="62"/>
      <c r="AQ458" s="62"/>
    </row>
    <row r="459" spans="1:43" ht="12.75" customHeight="1" x14ac:dyDescent="0.2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  <c r="AO459" s="62"/>
      <c r="AP459" s="62"/>
      <c r="AQ459" s="62"/>
    </row>
    <row r="460" spans="1:43" ht="12.75" customHeight="1" x14ac:dyDescent="0.2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  <c r="AO460" s="62"/>
      <c r="AP460" s="62"/>
      <c r="AQ460" s="62"/>
    </row>
    <row r="461" spans="1:43" ht="12.75" customHeight="1" x14ac:dyDescent="0.2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  <c r="AO461" s="62"/>
      <c r="AP461" s="62"/>
      <c r="AQ461" s="62"/>
    </row>
    <row r="462" spans="1:43" ht="12.75" customHeight="1" x14ac:dyDescent="0.2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  <c r="AM462" s="62"/>
      <c r="AN462" s="62"/>
      <c r="AO462" s="62"/>
      <c r="AP462" s="62"/>
      <c r="AQ462" s="62"/>
    </row>
    <row r="463" spans="1:43" ht="12.75" customHeight="1" x14ac:dyDescent="0.2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  <c r="AM463" s="62"/>
      <c r="AN463" s="62"/>
      <c r="AO463" s="62"/>
      <c r="AP463" s="62"/>
      <c r="AQ463" s="62"/>
    </row>
    <row r="464" spans="1:43" ht="12.75" customHeight="1" x14ac:dyDescent="0.2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  <c r="AO464" s="62"/>
      <c r="AP464" s="62"/>
      <c r="AQ464" s="62"/>
    </row>
    <row r="465" spans="1:43" ht="12.75" customHeight="1" x14ac:dyDescent="0.2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  <c r="AM465" s="62"/>
      <c r="AN465" s="62"/>
      <c r="AO465" s="62"/>
      <c r="AP465" s="62"/>
      <c r="AQ465" s="62"/>
    </row>
    <row r="466" spans="1:43" ht="12.75" customHeight="1" x14ac:dyDescent="0.2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</row>
    <row r="467" spans="1:43" ht="12.75" customHeight="1" x14ac:dyDescent="0.2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</row>
    <row r="468" spans="1:43" ht="12.75" customHeight="1" x14ac:dyDescent="0.2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</row>
    <row r="469" spans="1:43" ht="12.75" customHeight="1" x14ac:dyDescent="0.2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  <c r="AO469" s="62"/>
      <c r="AP469" s="62"/>
      <c r="AQ469" s="62"/>
    </row>
    <row r="470" spans="1:43" ht="12.75" customHeight="1" x14ac:dyDescent="0.2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  <c r="AO470" s="62"/>
      <c r="AP470" s="62"/>
      <c r="AQ470" s="62"/>
    </row>
    <row r="471" spans="1:43" ht="12.75" customHeight="1" x14ac:dyDescent="0.2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  <c r="AM471" s="62"/>
      <c r="AN471" s="62"/>
      <c r="AO471" s="62"/>
      <c r="AP471" s="62"/>
      <c r="AQ471" s="62"/>
    </row>
    <row r="472" spans="1:43" ht="12.75" customHeight="1" x14ac:dyDescent="0.2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  <c r="AM472" s="62"/>
      <c r="AN472" s="62"/>
      <c r="AO472" s="62"/>
      <c r="AP472" s="62"/>
      <c r="AQ472" s="62"/>
    </row>
    <row r="473" spans="1:43" ht="12.75" customHeight="1" x14ac:dyDescent="0.2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  <c r="AO473" s="62"/>
      <c r="AP473" s="62"/>
      <c r="AQ473" s="62"/>
    </row>
    <row r="474" spans="1:43" ht="12.75" customHeight="1" x14ac:dyDescent="0.2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  <c r="AM474" s="62"/>
      <c r="AN474" s="62"/>
      <c r="AO474" s="62"/>
      <c r="AP474" s="62"/>
      <c r="AQ474" s="62"/>
    </row>
    <row r="475" spans="1:43" ht="12.75" customHeight="1" x14ac:dyDescent="0.2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  <c r="AM475" s="62"/>
      <c r="AN475" s="62"/>
      <c r="AO475" s="62"/>
      <c r="AP475" s="62"/>
      <c r="AQ475" s="62"/>
    </row>
    <row r="476" spans="1:43" ht="12.75" customHeight="1" x14ac:dyDescent="0.2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</row>
    <row r="477" spans="1:43" ht="12.75" customHeight="1" x14ac:dyDescent="0.2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</row>
    <row r="478" spans="1:43" ht="12.75" customHeight="1" x14ac:dyDescent="0.2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</row>
    <row r="479" spans="1:43" ht="12.75" customHeight="1" x14ac:dyDescent="0.2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</row>
    <row r="480" spans="1:43" ht="12.75" customHeight="1" x14ac:dyDescent="0.2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</row>
    <row r="481" spans="1:43" ht="12.75" customHeight="1" x14ac:dyDescent="0.2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</row>
    <row r="482" spans="1:43" ht="12.75" customHeight="1" x14ac:dyDescent="0.2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</row>
    <row r="483" spans="1:43" ht="12.75" customHeight="1" x14ac:dyDescent="0.2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</row>
    <row r="484" spans="1:43" ht="12.75" customHeight="1" x14ac:dyDescent="0.2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</row>
    <row r="485" spans="1:43" ht="12.75" customHeight="1" x14ac:dyDescent="0.2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</row>
    <row r="486" spans="1:43" ht="12.75" customHeight="1" x14ac:dyDescent="0.2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</row>
    <row r="487" spans="1:43" ht="12.75" customHeight="1" x14ac:dyDescent="0.2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</row>
    <row r="488" spans="1:43" ht="12.75" customHeight="1" x14ac:dyDescent="0.2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</row>
    <row r="489" spans="1:43" ht="12.75" customHeight="1" x14ac:dyDescent="0.2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</row>
    <row r="490" spans="1:43" ht="12.75" customHeight="1" x14ac:dyDescent="0.2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  <c r="AM490" s="62"/>
      <c r="AN490" s="62"/>
      <c r="AO490" s="62"/>
      <c r="AP490" s="62"/>
      <c r="AQ490" s="62"/>
    </row>
    <row r="491" spans="1:43" ht="12.75" customHeight="1" x14ac:dyDescent="0.2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  <c r="AM491" s="62"/>
      <c r="AN491" s="62"/>
      <c r="AO491" s="62"/>
      <c r="AP491" s="62"/>
      <c r="AQ491" s="62"/>
    </row>
    <row r="492" spans="1:43" ht="12.75" customHeight="1" x14ac:dyDescent="0.2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  <c r="AO492" s="62"/>
      <c r="AP492" s="62"/>
      <c r="AQ492" s="62"/>
    </row>
    <row r="493" spans="1:43" ht="12.75" customHeight="1" x14ac:dyDescent="0.2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  <c r="AM493" s="62"/>
      <c r="AN493" s="62"/>
      <c r="AO493" s="62"/>
      <c r="AP493" s="62"/>
      <c r="AQ493" s="62"/>
    </row>
    <row r="494" spans="1:43" ht="12.75" customHeight="1" x14ac:dyDescent="0.2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  <c r="AO494" s="62"/>
      <c r="AP494" s="62"/>
      <c r="AQ494" s="62"/>
    </row>
    <row r="495" spans="1:43" ht="12.75" customHeight="1" x14ac:dyDescent="0.2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  <c r="AM495" s="62"/>
      <c r="AN495" s="62"/>
      <c r="AO495" s="62"/>
      <c r="AP495" s="62"/>
      <c r="AQ495" s="62"/>
    </row>
    <row r="496" spans="1:43" ht="12.75" customHeight="1" x14ac:dyDescent="0.2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</row>
    <row r="497" spans="1:43" ht="12.75" customHeight="1" x14ac:dyDescent="0.2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</row>
    <row r="498" spans="1:43" ht="12.75" customHeight="1" x14ac:dyDescent="0.2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</row>
    <row r="499" spans="1:43" ht="12.75" customHeight="1" x14ac:dyDescent="0.2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</row>
    <row r="500" spans="1:43" ht="12.75" customHeight="1" x14ac:dyDescent="0.2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</row>
    <row r="501" spans="1:43" ht="12.75" customHeight="1" x14ac:dyDescent="0.2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</row>
    <row r="502" spans="1:43" ht="12.75" customHeight="1" x14ac:dyDescent="0.2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</row>
    <row r="503" spans="1:43" ht="12.75" customHeight="1" x14ac:dyDescent="0.2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</row>
    <row r="504" spans="1:43" ht="12.75" customHeight="1" x14ac:dyDescent="0.2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</row>
    <row r="505" spans="1:43" ht="12.75" customHeight="1" x14ac:dyDescent="0.2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</row>
    <row r="506" spans="1:43" ht="12.75" customHeight="1" x14ac:dyDescent="0.2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</row>
    <row r="507" spans="1:43" ht="12.75" customHeight="1" x14ac:dyDescent="0.2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</row>
    <row r="508" spans="1:43" ht="12.75" customHeight="1" x14ac:dyDescent="0.2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</row>
    <row r="509" spans="1:43" ht="12.75" customHeight="1" x14ac:dyDescent="0.2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</row>
    <row r="510" spans="1:43" ht="12.75" customHeight="1" x14ac:dyDescent="0.2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</row>
    <row r="511" spans="1:43" ht="12.75" customHeight="1" x14ac:dyDescent="0.2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</row>
    <row r="512" spans="1:43" ht="12.75" customHeight="1" x14ac:dyDescent="0.2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</row>
    <row r="513" spans="1:43" ht="12.75" customHeight="1" x14ac:dyDescent="0.2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</row>
    <row r="514" spans="1:43" ht="12.75" customHeight="1" x14ac:dyDescent="0.2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</row>
    <row r="515" spans="1:43" ht="12.75" customHeight="1" x14ac:dyDescent="0.2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</row>
    <row r="516" spans="1:43" ht="12.75" customHeight="1" x14ac:dyDescent="0.2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</row>
    <row r="517" spans="1:43" ht="12.75" customHeight="1" x14ac:dyDescent="0.2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</row>
    <row r="518" spans="1:43" ht="12.75" customHeight="1" x14ac:dyDescent="0.2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</row>
    <row r="519" spans="1:43" ht="12.75" customHeight="1" x14ac:dyDescent="0.2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</row>
    <row r="520" spans="1:43" ht="12.75" customHeight="1" x14ac:dyDescent="0.2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</row>
    <row r="521" spans="1:43" ht="12.75" customHeight="1" x14ac:dyDescent="0.2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</row>
    <row r="522" spans="1:43" ht="12.75" customHeight="1" x14ac:dyDescent="0.2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</row>
    <row r="523" spans="1:43" ht="12.75" customHeight="1" x14ac:dyDescent="0.2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</row>
    <row r="524" spans="1:43" ht="12.75" customHeight="1" x14ac:dyDescent="0.2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</row>
    <row r="525" spans="1:43" ht="12.75" customHeight="1" x14ac:dyDescent="0.2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</row>
    <row r="526" spans="1:43" ht="12.75" customHeight="1" x14ac:dyDescent="0.2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</row>
    <row r="527" spans="1:43" ht="12.75" customHeight="1" x14ac:dyDescent="0.2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</row>
    <row r="528" spans="1:43" ht="12.75" customHeight="1" x14ac:dyDescent="0.2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</row>
    <row r="529" spans="1:43" ht="12.75" customHeight="1" x14ac:dyDescent="0.2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</row>
    <row r="530" spans="1:43" ht="12.75" customHeight="1" x14ac:dyDescent="0.2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</row>
    <row r="531" spans="1:43" ht="12.75" customHeight="1" x14ac:dyDescent="0.2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</row>
    <row r="532" spans="1:43" ht="12.75" customHeight="1" x14ac:dyDescent="0.2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</row>
    <row r="533" spans="1:43" ht="12.75" customHeight="1" x14ac:dyDescent="0.2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</row>
    <row r="534" spans="1:43" ht="12.75" customHeight="1" x14ac:dyDescent="0.2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</row>
    <row r="535" spans="1:43" ht="12.75" customHeight="1" x14ac:dyDescent="0.2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</row>
    <row r="536" spans="1:43" ht="12.75" customHeight="1" x14ac:dyDescent="0.2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</row>
    <row r="537" spans="1:43" ht="12.75" customHeight="1" x14ac:dyDescent="0.2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</row>
    <row r="538" spans="1:43" ht="12.75" customHeight="1" x14ac:dyDescent="0.2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</row>
    <row r="539" spans="1:43" ht="12.75" customHeight="1" x14ac:dyDescent="0.2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</row>
    <row r="540" spans="1:43" ht="12.75" customHeight="1" x14ac:dyDescent="0.2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</row>
    <row r="541" spans="1:43" ht="12.75" customHeight="1" x14ac:dyDescent="0.2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</row>
    <row r="542" spans="1:43" ht="12.75" customHeight="1" x14ac:dyDescent="0.2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</row>
    <row r="543" spans="1:43" ht="12.75" customHeight="1" x14ac:dyDescent="0.2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</row>
    <row r="544" spans="1:43" ht="12.75" customHeight="1" x14ac:dyDescent="0.2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</row>
    <row r="545" spans="1:43" ht="12.75" customHeight="1" x14ac:dyDescent="0.2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</row>
    <row r="546" spans="1:43" ht="12.75" customHeight="1" x14ac:dyDescent="0.2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</row>
    <row r="547" spans="1:43" ht="12.75" customHeight="1" x14ac:dyDescent="0.2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</row>
    <row r="548" spans="1:43" ht="12.75" customHeight="1" x14ac:dyDescent="0.2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</row>
    <row r="549" spans="1:43" ht="12.75" customHeight="1" x14ac:dyDescent="0.2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</row>
    <row r="550" spans="1:43" ht="12.75" customHeight="1" x14ac:dyDescent="0.2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</row>
    <row r="551" spans="1:43" ht="12.75" customHeight="1" x14ac:dyDescent="0.2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</row>
    <row r="552" spans="1:43" ht="12.75" customHeight="1" x14ac:dyDescent="0.2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</row>
    <row r="553" spans="1:43" ht="12.75" customHeight="1" x14ac:dyDescent="0.2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</row>
    <row r="554" spans="1:43" ht="12.75" customHeight="1" x14ac:dyDescent="0.2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</row>
    <row r="555" spans="1:43" ht="12.75" customHeight="1" x14ac:dyDescent="0.2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</row>
    <row r="556" spans="1:43" ht="12.75" customHeight="1" x14ac:dyDescent="0.2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</row>
    <row r="557" spans="1:43" ht="12.75" customHeight="1" x14ac:dyDescent="0.2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</row>
    <row r="558" spans="1:43" ht="12.75" customHeight="1" x14ac:dyDescent="0.2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</row>
    <row r="559" spans="1:43" ht="12.75" customHeight="1" x14ac:dyDescent="0.2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</row>
    <row r="560" spans="1:43" ht="12.75" customHeight="1" x14ac:dyDescent="0.2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</row>
    <row r="561" spans="1:43" ht="12.75" customHeight="1" x14ac:dyDescent="0.2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</row>
    <row r="562" spans="1:43" ht="12.75" customHeight="1" x14ac:dyDescent="0.2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</row>
    <row r="563" spans="1:43" ht="12.75" customHeight="1" x14ac:dyDescent="0.2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</row>
    <row r="564" spans="1:43" ht="12.75" customHeight="1" x14ac:dyDescent="0.2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</row>
    <row r="565" spans="1:43" ht="12.75" customHeight="1" x14ac:dyDescent="0.2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</row>
    <row r="566" spans="1:43" ht="12.75" customHeight="1" x14ac:dyDescent="0.2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</row>
    <row r="567" spans="1:43" ht="12.75" customHeight="1" x14ac:dyDescent="0.2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</row>
    <row r="568" spans="1:43" ht="12.75" customHeight="1" x14ac:dyDescent="0.2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</row>
    <row r="569" spans="1:43" ht="12.75" customHeight="1" x14ac:dyDescent="0.2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</row>
    <row r="570" spans="1:43" ht="12.75" customHeight="1" x14ac:dyDescent="0.2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</row>
    <row r="571" spans="1:43" ht="12.75" customHeight="1" x14ac:dyDescent="0.2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</row>
    <row r="572" spans="1:43" ht="12.75" customHeight="1" x14ac:dyDescent="0.2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</row>
    <row r="573" spans="1:43" ht="12.75" customHeight="1" x14ac:dyDescent="0.2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</row>
    <row r="574" spans="1:43" ht="12.75" customHeight="1" x14ac:dyDescent="0.2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</row>
    <row r="575" spans="1:43" ht="12.75" customHeight="1" x14ac:dyDescent="0.2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</row>
    <row r="576" spans="1:43" ht="12.75" customHeight="1" x14ac:dyDescent="0.2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</row>
    <row r="577" spans="1:43" ht="12.75" customHeight="1" x14ac:dyDescent="0.2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</row>
    <row r="578" spans="1:43" ht="12.75" customHeight="1" x14ac:dyDescent="0.2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</row>
    <row r="579" spans="1:43" ht="12.75" customHeight="1" x14ac:dyDescent="0.2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</row>
    <row r="580" spans="1:43" ht="12.75" customHeight="1" x14ac:dyDescent="0.2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</row>
    <row r="581" spans="1:43" ht="12.75" customHeight="1" x14ac:dyDescent="0.2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</row>
    <row r="582" spans="1:43" ht="12.75" customHeight="1" x14ac:dyDescent="0.2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</row>
    <row r="583" spans="1:43" ht="12.75" customHeight="1" x14ac:dyDescent="0.2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</row>
    <row r="584" spans="1:43" ht="12.75" customHeight="1" x14ac:dyDescent="0.2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</row>
    <row r="585" spans="1:43" ht="12.75" customHeight="1" x14ac:dyDescent="0.2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</row>
    <row r="586" spans="1:43" ht="12.75" customHeight="1" x14ac:dyDescent="0.2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</row>
    <row r="587" spans="1:43" ht="12.75" customHeight="1" x14ac:dyDescent="0.2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</row>
    <row r="588" spans="1:43" ht="12.75" customHeight="1" x14ac:dyDescent="0.2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</row>
    <row r="589" spans="1:43" ht="12.75" customHeight="1" x14ac:dyDescent="0.2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</row>
    <row r="590" spans="1:43" ht="12.75" customHeight="1" x14ac:dyDescent="0.2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</row>
    <row r="591" spans="1:43" ht="12.75" customHeight="1" x14ac:dyDescent="0.2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</row>
    <row r="592" spans="1:43" ht="12.75" customHeight="1" x14ac:dyDescent="0.2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</row>
    <row r="593" spans="1:43" ht="12.75" customHeight="1" x14ac:dyDescent="0.2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</row>
    <row r="594" spans="1:43" ht="12.75" customHeight="1" x14ac:dyDescent="0.2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</row>
    <row r="595" spans="1:43" ht="12.75" customHeight="1" x14ac:dyDescent="0.2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</row>
    <row r="596" spans="1:43" ht="12.75" customHeight="1" x14ac:dyDescent="0.2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</row>
    <row r="597" spans="1:43" ht="12.75" customHeight="1" x14ac:dyDescent="0.2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</row>
    <row r="598" spans="1:43" ht="12.75" customHeight="1" x14ac:dyDescent="0.2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</row>
    <row r="599" spans="1:43" ht="12.75" customHeight="1" x14ac:dyDescent="0.2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</row>
    <row r="600" spans="1:43" ht="12.75" customHeight="1" x14ac:dyDescent="0.2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</row>
    <row r="601" spans="1:43" ht="12.75" customHeight="1" x14ac:dyDescent="0.2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</row>
    <row r="602" spans="1:43" ht="12.75" customHeight="1" x14ac:dyDescent="0.2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</row>
    <row r="603" spans="1:43" ht="12.75" customHeight="1" x14ac:dyDescent="0.2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</row>
    <row r="604" spans="1:43" ht="12.75" customHeight="1" x14ac:dyDescent="0.2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</row>
    <row r="605" spans="1:43" ht="12.75" customHeight="1" x14ac:dyDescent="0.2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</row>
    <row r="606" spans="1:43" ht="12.75" customHeight="1" x14ac:dyDescent="0.2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</row>
    <row r="607" spans="1:43" ht="12.75" customHeight="1" x14ac:dyDescent="0.2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</row>
    <row r="608" spans="1:43" ht="12.75" customHeight="1" x14ac:dyDescent="0.2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</row>
    <row r="609" spans="1:43" ht="12.75" customHeight="1" x14ac:dyDescent="0.2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</row>
    <row r="610" spans="1:43" ht="12.75" customHeight="1" x14ac:dyDescent="0.2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</row>
    <row r="611" spans="1:43" ht="12.75" customHeight="1" x14ac:dyDescent="0.2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</row>
    <row r="612" spans="1:43" ht="12.75" customHeight="1" x14ac:dyDescent="0.2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</row>
    <row r="613" spans="1:43" ht="12.75" customHeight="1" x14ac:dyDescent="0.2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</row>
    <row r="614" spans="1:43" ht="12.75" customHeight="1" x14ac:dyDescent="0.2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</row>
    <row r="615" spans="1:43" ht="12.75" customHeight="1" x14ac:dyDescent="0.2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</row>
    <row r="616" spans="1:43" ht="12.75" customHeight="1" x14ac:dyDescent="0.2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</row>
    <row r="617" spans="1:43" ht="12.75" customHeight="1" x14ac:dyDescent="0.2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</row>
    <row r="618" spans="1:43" ht="12.75" customHeight="1" x14ac:dyDescent="0.2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</row>
    <row r="619" spans="1:43" ht="12.75" customHeight="1" x14ac:dyDescent="0.2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</row>
    <row r="620" spans="1:43" ht="12.75" customHeight="1" x14ac:dyDescent="0.2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</row>
    <row r="621" spans="1:43" ht="12.75" customHeight="1" x14ac:dyDescent="0.2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</row>
    <row r="622" spans="1:43" ht="12.75" customHeight="1" x14ac:dyDescent="0.2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</row>
    <row r="623" spans="1:43" ht="12.75" customHeight="1" x14ac:dyDescent="0.2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</row>
    <row r="624" spans="1:43" ht="12.75" customHeight="1" x14ac:dyDescent="0.2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</row>
    <row r="625" spans="1:43" ht="12.75" customHeight="1" x14ac:dyDescent="0.2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</row>
    <row r="626" spans="1:43" ht="12.75" customHeight="1" x14ac:dyDescent="0.2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</row>
    <row r="627" spans="1:43" ht="12.75" customHeight="1" x14ac:dyDescent="0.2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</row>
    <row r="628" spans="1:43" ht="12.75" customHeight="1" x14ac:dyDescent="0.2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</row>
    <row r="629" spans="1:43" ht="12.75" customHeight="1" x14ac:dyDescent="0.2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</row>
    <row r="630" spans="1:43" ht="12.75" customHeight="1" x14ac:dyDescent="0.2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</row>
    <row r="631" spans="1:43" ht="12.75" customHeight="1" x14ac:dyDescent="0.2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</row>
    <row r="632" spans="1:43" ht="12.75" customHeight="1" x14ac:dyDescent="0.2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</row>
    <row r="633" spans="1:43" ht="12.75" customHeight="1" x14ac:dyDescent="0.2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</row>
    <row r="634" spans="1:43" ht="12.75" customHeight="1" x14ac:dyDescent="0.2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</row>
    <row r="635" spans="1:43" ht="12.75" customHeight="1" x14ac:dyDescent="0.2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</row>
    <row r="636" spans="1:43" ht="12.75" customHeight="1" x14ac:dyDescent="0.2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</row>
    <row r="637" spans="1:43" ht="12.75" customHeight="1" x14ac:dyDescent="0.2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</row>
    <row r="638" spans="1:43" ht="12.75" customHeight="1" x14ac:dyDescent="0.2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</row>
    <row r="639" spans="1:43" ht="12.75" customHeight="1" x14ac:dyDescent="0.2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</row>
    <row r="640" spans="1:43" ht="12.75" customHeight="1" x14ac:dyDescent="0.2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</row>
    <row r="641" spans="1:43" ht="12.75" customHeight="1" x14ac:dyDescent="0.2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</row>
    <row r="642" spans="1:43" ht="12.75" customHeight="1" x14ac:dyDescent="0.2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</row>
    <row r="643" spans="1:43" ht="12.75" customHeight="1" x14ac:dyDescent="0.2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</row>
    <row r="644" spans="1:43" ht="12.75" customHeight="1" x14ac:dyDescent="0.2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</row>
    <row r="645" spans="1:43" ht="12.75" customHeight="1" x14ac:dyDescent="0.2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</row>
    <row r="646" spans="1:43" ht="12.75" customHeight="1" x14ac:dyDescent="0.2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</row>
    <row r="647" spans="1:43" ht="12.75" customHeight="1" x14ac:dyDescent="0.2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</row>
    <row r="648" spans="1:43" ht="12.75" customHeight="1" x14ac:dyDescent="0.2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</row>
    <row r="649" spans="1:43" ht="12.75" customHeight="1" x14ac:dyDescent="0.2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</row>
    <row r="650" spans="1:43" ht="12.75" customHeight="1" x14ac:dyDescent="0.2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</row>
    <row r="651" spans="1:43" ht="12.75" customHeight="1" x14ac:dyDescent="0.2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</row>
    <row r="652" spans="1:43" ht="12.75" customHeight="1" x14ac:dyDescent="0.2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</row>
    <row r="653" spans="1:43" ht="12.75" customHeight="1" x14ac:dyDescent="0.2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</row>
    <row r="654" spans="1:43" ht="12.75" customHeight="1" x14ac:dyDescent="0.2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</row>
    <row r="655" spans="1:43" ht="12.75" customHeight="1" x14ac:dyDescent="0.2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</row>
    <row r="656" spans="1:43" ht="12.75" customHeight="1" x14ac:dyDescent="0.2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</row>
    <row r="657" spans="1:43" ht="12.75" customHeight="1" x14ac:dyDescent="0.2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</row>
    <row r="658" spans="1:43" ht="12.75" customHeight="1" x14ac:dyDescent="0.2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62"/>
      <c r="AH658" s="62"/>
      <c r="AI658" s="62"/>
      <c r="AJ658" s="62"/>
      <c r="AK658" s="62"/>
      <c r="AL658" s="62"/>
      <c r="AM658" s="62"/>
      <c r="AN658" s="62"/>
      <c r="AO658" s="62"/>
      <c r="AP658" s="62"/>
      <c r="AQ658" s="62"/>
    </row>
    <row r="659" spans="1:43" ht="12.75" customHeight="1" x14ac:dyDescent="0.2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62"/>
      <c r="AH659" s="62"/>
      <c r="AI659" s="62"/>
      <c r="AJ659" s="62"/>
      <c r="AK659" s="62"/>
      <c r="AL659" s="62"/>
      <c r="AM659" s="62"/>
      <c r="AN659" s="62"/>
      <c r="AO659" s="62"/>
      <c r="AP659" s="62"/>
      <c r="AQ659" s="62"/>
    </row>
    <row r="660" spans="1:43" ht="12.75" customHeight="1" x14ac:dyDescent="0.2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62"/>
      <c r="AH660" s="62"/>
      <c r="AI660" s="62"/>
      <c r="AJ660" s="62"/>
      <c r="AK660" s="62"/>
      <c r="AL660" s="62"/>
      <c r="AM660" s="62"/>
      <c r="AN660" s="62"/>
      <c r="AO660" s="62"/>
      <c r="AP660" s="62"/>
      <c r="AQ660" s="62"/>
    </row>
    <row r="661" spans="1:43" ht="12.75" customHeight="1" x14ac:dyDescent="0.2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62"/>
      <c r="AH661" s="62"/>
      <c r="AI661" s="62"/>
      <c r="AJ661" s="62"/>
      <c r="AK661" s="62"/>
      <c r="AL661" s="62"/>
      <c r="AM661" s="62"/>
      <c r="AN661" s="62"/>
      <c r="AO661" s="62"/>
      <c r="AP661" s="62"/>
      <c r="AQ661" s="62"/>
    </row>
    <row r="662" spans="1:43" ht="12.75" customHeight="1" x14ac:dyDescent="0.2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62"/>
      <c r="AH662" s="62"/>
      <c r="AI662" s="62"/>
      <c r="AJ662" s="62"/>
      <c r="AK662" s="62"/>
      <c r="AL662" s="62"/>
      <c r="AM662" s="62"/>
      <c r="AN662" s="62"/>
      <c r="AO662" s="62"/>
      <c r="AP662" s="62"/>
      <c r="AQ662" s="62"/>
    </row>
    <row r="663" spans="1:43" ht="12.75" customHeight="1" x14ac:dyDescent="0.2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62"/>
      <c r="AH663" s="62"/>
      <c r="AI663" s="62"/>
      <c r="AJ663" s="62"/>
      <c r="AK663" s="62"/>
      <c r="AL663" s="62"/>
      <c r="AM663" s="62"/>
      <c r="AN663" s="62"/>
      <c r="AO663" s="62"/>
      <c r="AP663" s="62"/>
      <c r="AQ663" s="62"/>
    </row>
    <row r="664" spans="1:43" ht="12.75" customHeight="1" x14ac:dyDescent="0.2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62"/>
      <c r="AH664" s="62"/>
      <c r="AI664" s="62"/>
      <c r="AJ664" s="62"/>
      <c r="AK664" s="62"/>
      <c r="AL664" s="62"/>
      <c r="AM664" s="62"/>
      <c r="AN664" s="62"/>
      <c r="AO664" s="62"/>
      <c r="AP664" s="62"/>
      <c r="AQ664" s="62"/>
    </row>
    <row r="665" spans="1:43" ht="12.75" customHeight="1" x14ac:dyDescent="0.2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  <c r="AM665" s="62"/>
      <c r="AN665" s="62"/>
      <c r="AO665" s="62"/>
      <c r="AP665" s="62"/>
      <c r="AQ665" s="62"/>
    </row>
    <row r="666" spans="1:43" ht="12.75" customHeight="1" x14ac:dyDescent="0.2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  <c r="AM666" s="62"/>
      <c r="AN666" s="62"/>
      <c r="AO666" s="62"/>
      <c r="AP666" s="62"/>
      <c r="AQ666" s="62"/>
    </row>
    <row r="667" spans="1:43" ht="12.75" customHeight="1" x14ac:dyDescent="0.2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62"/>
      <c r="AH667" s="62"/>
      <c r="AI667" s="62"/>
      <c r="AJ667" s="62"/>
      <c r="AK667" s="62"/>
      <c r="AL667" s="62"/>
      <c r="AM667" s="62"/>
      <c r="AN667" s="62"/>
      <c r="AO667" s="62"/>
      <c r="AP667" s="62"/>
      <c r="AQ667" s="62"/>
    </row>
    <row r="668" spans="1:43" ht="12.75" customHeight="1" x14ac:dyDescent="0.2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  <c r="AM668" s="62"/>
      <c r="AN668" s="62"/>
      <c r="AO668" s="62"/>
      <c r="AP668" s="62"/>
      <c r="AQ668" s="62"/>
    </row>
    <row r="669" spans="1:43" ht="12.75" customHeight="1" x14ac:dyDescent="0.2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  <c r="AM669" s="62"/>
      <c r="AN669" s="62"/>
      <c r="AO669" s="62"/>
      <c r="AP669" s="62"/>
      <c r="AQ669" s="62"/>
    </row>
    <row r="670" spans="1:43" ht="12.75" customHeight="1" x14ac:dyDescent="0.2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  <c r="AM670" s="62"/>
      <c r="AN670" s="62"/>
      <c r="AO670" s="62"/>
      <c r="AP670" s="62"/>
      <c r="AQ670" s="62"/>
    </row>
    <row r="671" spans="1:43" ht="12.75" customHeight="1" x14ac:dyDescent="0.2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62"/>
      <c r="AH671" s="62"/>
      <c r="AI671" s="62"/>
      <c r="AJ671" s="62"/>
      <c r="AK671" s="62"/>
      <c r="AL671" s="62"/>
      <c r="AM671" s="62"/>
      <c r="AN671" s="62"/>
      <c r="AO671" s="62"/>
      <c r="AP671" s="62"/>
      <c r="AQ671" s="62"/>
    </row>
    <row r="672" spans="1:43" ht="12.75" customHeight="1" x14ac:dyDescent="0.2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  <c r="AM672" s="62"/>
      <c r="AN672" s="62"/>
      <c r="AO672" s="62"/>
      <c r="AP672" s="62"/>
      <c r="AQ672" s="62"/>
    </row>
    <row r="673" spans="1:43" ht="12.75" customHeight="1" x14ac:dyDescent="0.2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  <c r="AO673" s="62"/>
      <c r="AP673" s="62"/>
      <c r="AQ673" s="62"/>
    </row>
    <row r="674" spans="1:43" ht="12.75" customHeight="1" x14ac:dyDescent="0.2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62"/>
      <c r="AH674" s="62"/>
      <c r="AI674" s="62"/>
      <c r="AJ674" s="62"/>
      <c r="AK674" s="62"/>
      <c r="AL674" s="62"/>
      <c r="AM674" s="62"/>
      <c r="AN674" s="62"/>
      <c r="AO674" s="62"/>
      <c r="AP674" s="62"/>
      <c r="AQ674" s="62"/>
    </row>
    <row r="675" spans="1:43" ht="12.75" customHeight="1" x14ac:dyDescent="0.2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  <c r="AM675" s="62"/>
      <c r="AN675" s="62"/>
      <c r="AO675" s="62"/>
      <c r="AP675" s="62"/>
      <c r="AQ675" s="62"/>
    </row>
    <row r="676" spans="1:43" ht="12.75" customHeight="1" x14ac:dyDescent="0.2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  <c r="AM676" s="62"/>
      <c r="AN676" s="62"/>
      <c r="AO676" s="62"/>
      <c r="AP676" s="62"/>
      <c r="AQ676" s="62"/>
    </row>
    <row r="677" spans="1:43" ht="12.75" customHeight="1" x14ac:dyDescent="0.2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  <c r="AM677" s="62"/>
      <c r="AN677" s="62"/>
      <c r="AO677" s="62"/>
      <c r="AP677" s="62"/>
      <c r="AQ677" s="62"/>
    </row>
    <row r="678" spans="1:43" ht="12.75" customHeight="1" x14ac:dyDescent="0.2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62"/>
      <c r="AH678" s="62"/>
      <c r="AI678" s="62"/>
      <c r="AJ678" s="62"/>
      <c r="AK678" s="62"/>
      <c r="AL678" s="62"/>
      <c r="AM678" s="62"/>
      <c r="AN678" s="62"/>
      <c r="AO678" s="62"/>
      <c r="AP678" s="62"/>
      <c r="AQ678" s="62"/>
    </row>
    <row r="679" spans="1:43" ht="12.75" customHeight="1" x14ac:dyDescent="0.2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  <c r="AM679" s="62"/>
      <c r="AN679" s="62"/>
      <c r="AO679" s="62"/>
      <c r="AP679" s="62"/>
      <c r="AQ679" s="62"/>
    </row>
    <row r="680" spans="1:43" ht="12.75" customHeight="1" x14ac:dyDescent="0.2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62"/>
      <c r="AH680" s="62"/>
      <c r="AI680" s="62"/>
      <c r="AJ680" s="62"/>
      <c r="AK680" s="62"/>
      <c r="AL680" s="62"/>
      <c r="AM680" s="62"/>
      <c r="AN680" s="62"/>
      <c r="AO680" s="62"/>
      <c r="AP680" s="62"/>
      <c r="AQ680" s="62"/>
    </row>
    <row r="681" spans="1:43" ht="12.75" customHeight="1" x14ac:dyDescent="0.2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  <c r="AM681" s="62"/>
      <c r="AN681" s="62"/>
      <c r="AO681" s="62"/>
      <c r="AP681" s="62"/>
      <c r="AQ681" s="62"/>
    </row>
    <row r="682" spans="1:43" ht="12.75" customHeight="1" x14ac:dyDescent="0.2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  <c r="AM682" s="62"/>
      <c r="AN682" s="62"/>
      <c r="AO682" s="62"/>
      <c r="AP682" s="62"/>
      <c r="AQ682" s="62"/>
    </row>
    <row r="683" spans="1:43" ht="12.75" customHeight="1" x14ac:dyDescent="0.2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  <c r="AM683" s="62"/>
      <c r="AN683" s="62"/>
      <c r="AO683" s="62"/>
      <c r="AP683" s="62"/>
      <c r="AQ683" s="62"/>
    </row>
    <row r="684" spans="1:43" ht="12.75" customHeight="1" x14ac:dyDescent="0.2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62"/>
      <c r="AH684" s="62"/>
      <c r="AI684" s="62"/>
      <c r="AJ684" s="62"/>
      <c r="AK684" s="62"/>
      <c r="AL684" s="62"/>
      <c r="AM684" s="62"/>
      <c r="AN684" s="62"/>
      <c r="AO684" s="62"/>
      <c r="AP684" s="62"/>
      <c r="AQ684" s="62"/>
    </row>
    <row r="685" spans="1:43" ht="12.75" customHeight="1" x14ac:dyDescent="0.2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  <c r="AM685" s="62"/>
      <c r="AN685" s="62"/>
      <c r="AO685" s="62"/>
      <c r="AP685" s="62"/>
      <c r="AQ685" s="62"/>
    </row>
    <row r="686" spans="1:43" ht="12.75" customHeight="1" x14ac:dyDescent="0.2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  <c r="AM686" s="62"/>
      <c r="AN686" s="62"/>
      <c r="AO686" s="62"/>
      <c r="AP686" s="62"/>
      <c r="AQ686" s="62"/>
    </row>
    <row r="687" spans="1:43" ht="12.75" customHeight="1" x14ac:dyDescent="0.2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2"/>
      <c r="AJ687" s="62"/>
      <c r="AK687" s="62"/>
      <c r="AL687" s="62"/>
      <c r="AM687" s="62"/>
      <c r="AN687" s="62"/>
      <c r="AO687" s="62"/>
      <c r="AP687" s="62"/>
      <c r="AQ687" s="62"/>
    </row>
    <row r="688" spans="1:43" ht="12.75" customHeight="1" x14ac:dyDescent="0.2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  <c r="AO688" s="62"/>
      <c r="AP688" s="62"/>
      <c r="AQ688" s="62"/>
    </row>
    <row r="689" spans="1:43" ht="12.75" customHeight="1" x14ac:dyDescent="0.2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  <c r="AM689" s="62"/>
      <c r="AN689" s="62"/>
      <c r="AO689" s="62"/>
      <c r="AP689" s="62"/>
      <c r="AQ689" s="62"/>
    </row>
    <row r="690" spans="1:43" ht="12.75" customHeight="1" x14ac:dyDescent="0.2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  <c r="AO690" s="62"/>
      <c r="AP690" s="62"/>
      <c r="AQ690" s="62"/>
    </row>
    <row r="691" spans="1:43" ht="12.75" customHeight="1" x14ac:dyDescent="0.2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  <c r="AM691" s="62"/>
      <c r="AN691" s="62"/>
      <c r="AO691" s="62"/>
      <c r="AP691" s="62"/>
      <c r="AQ691" s="62"/>
    </row>
    <row r="692" spans="1:43" ht="12.75" customHeight="1" x14ac:dyDescent="0.2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  <c r="AM692" s="62"/>
      <c r="AN692" s="62"/>
      <c r="AO692" s="62"/>
      <c r="AP692" s="62"/>
      <c r="AQ692" s="62"/>
    </row>
    <row r="693" spans="1:43" ht="12.75" customHeight="1" x14ac:dyDescent="0.2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  <c r="AM693" s="62"/>
      <c r="AN693" s="62"/>
      <c r="AO693" s="62"/>
      <c r="AP693" s="62"/>
      <c r="AQ693" s="62"/>
    </row>
    <row r="694" spans="1:43" ht="12.75" customHeight="1" x14ac:dyDescent="0.2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  <c r="AO694" s="62"/>
      <c r="AP694" s="62"/>
      <c r="AQ694" s="62"/>
    </row>
    <row r="695" spans="1:43" ht="12.75" customHeight="1" x14ac:dyDescent="0.2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  <c r="AO695" s="62"/>
      <c r="AP695" s="62"/>
      <c r="AQ695" s="62"/>
    </row>
    <row r="696" spans="1:43" ht="12.75" customHeight="1" x14ac:dyDescent="0.2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  <c r="AM696" s="62"/>
      <c r="AN696" s="62"/>
      <c r="AO696" s="62"/>
      <c r="AP696" s="62"/>
      <c r="AQ696" s="62"/>
    </row>
    <row r="697" spans="1:43" ht="12.75" customHeight="1" x14ac:dyDescent="0.2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  <c r="AM697" s="62"/>
      <c r="AN697" s="62"/>
      <c r="AO697" s="62"/>
      <c r="AP697" s="62"/>
      <c r="AQ697" s="62"/>
    </row>
    <row r="698" spans="1:43" ht="12.75" customHeight="1" x14ac:dyDescent="0.2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  <c r="AM698" s="62"/>
      <c r="AN698" s="62"/>
      <c r="AO698" s="62"/>
      <c r="AP698" s="62"/>
      <c r="AQ698" s="62"/>
    </row>
    <row r="699" spans="1:43" ht="12.75" customHeight="1" x14ac:dyDescent="0.2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  <c r="AM699" s="62"/>
      <c r="AN699" s="62"/>
      <c r="AO699" s="62"/>
      <c r="AP699" s="62"/>
      <c r="AQ699" s="62"/>
    </row>
    <row r="700" spans="1:43" ht="12.75" customHeight="1" x14ac:dyDescent="0.2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  <c r="AM700" s="62"/>
      <c r="AN700" s="62"/>
      <c r="AO700" s="62"/>
      <c r="AP700" s="62"/>
      <c r="AQ700" s="62"/>
    </row>
    <row r="701" spans="1:43" ht="12.75" customHeight="1" x14ac:dyDescent="0.2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  <c r="AO701" s="62"/>
      <c r="AP701" s="62"/>
      <c r="AQ701" s="62"/>
    </row>
    <row r="702" spans="1:43" ht="12.75" customHeight="1" x14ac:dyDescent="0.2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  <c r="AO702" s="62"/>
      <c r="AP702" s="62"/>
      <c r="AQ702" s="62"/>
    </row>
    <row r="703" spans="1:43" ht="12.75" customHeight="1" x14ac:dyDescent="0.2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  <c r="AM703" s="62"/>
      <c r="AN703" s="62"/>
      <c r="AO703" s="62"/>
      <c r="AP703" s="62"/>
      <c r="AQ703" s="62"/>
    </row>
    <row r="704" spans="1:43" ht="12.75" customHeight="1" x14ac:dyDescent="0.2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  <c r="AM704" s="62"/>
      <c r="AN704" s="62"/>
      <c r="AO704" s="62"/>
      <c r="AP704" s="62"/>
      <c r="AQ704" s="62"/>
    </row>
    <row r="705" spans="1:43" ht="12.75" customHeight="1" x14ac:dyDescent="0.2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  <c r="AM705" s="62"/>
      <c r="AN705" s="62"/>
      <c r="AO705" s="62"/>
      <c r="AP705" s="62"/>
      <c r="AQ705" s="62"/>
    </row>
    <row r="706" spans="1:43" ht="12.75" customHeight="1" x14ac:dyDescent="0.2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  <c r="AM706" s="62"/>
      <c r="AN706" s="62"/>
      <c r="AO706" s="62"/>
      <c r="AP706" s="62"/>
      <c r="AQ706" s="62"/>
    </row>
    <row r="707" spans="1:43" ht="12.75" customHeight="1" x14ac:dyDescent="0.2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  <c r="AM707" s="62"/>
      <c r="AN707" s="62"/>
      <c r="AO707" s="62"/>
      <c r="AP707" s="62"/>
      <c r="AQ707" s="62"/>
    </row>
    <row r="708" spans="1:43" ht="12.75" customHeight="1" x14ac:dyDescent="0.2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  <c r="AM708" s="62"/>
      <c r="AN708" s="62"/>
      <c r="AO708" s="62"/>
      <c r="AP708" s="62"/>
      <c r="AQ708" s="62"/>
    </row>
    <row r="709" spans="1:43" ht="12.75" customHeight="1" x14ac:dyDescent="0.2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  <c r="AM709" s="62"/>
      <c r="AN709" s="62"/>
      <c r="AO709" s="62"/>
      <c r="AP709" s="62"/>
      <c r="AQ709" s="62"/>
    </row>
    <row r="710" spans="1:43" ht="12.75" customHeight="1" x14ac:dyDescent="0.2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  <c r="AM710" s="62"/>
      <c r="AN710" s="62"/>
      <c r="AO710" s="62"/>
      <c r="AP710" s="62"/>
      <c r="AQ710" s="62"/>
    </row>
    <row r="711" spans="1:43" ht="12.75" customHeight="1" x14ac:dyDescent="0.2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  <c r="AM711" s="62"/>
      <c r="AN711" s="62"/>
      <c r="AO711" s="62"/>
      <c r="AP711" s="62"/>
      <c r="AQ711" s="62"/>
    </row>
    <row r="712" spans="1:43" ht="12.75" customHeight="1" x14ac:dyDescent="0.2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  <c r="AM712" s="62"/>
      <c r="AN712" s="62"/>
      <c r="AO712" s="62"/>
      <c r="AP712" s="62"/>
      <c r="AQ712" s="62"/>
    </row>
    <row r="713" spans="1:43" ht="12.75" customHeight="1" x14ac:dyDescent="0.2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  <c r="AM713" s="62"/>
      <c r="AN713" s="62"/>
      <c r="AO713" s="62"/>
      <c r="AP713" s="62"/>
      <c r="AQ713" s="62"/>
    </row>
    <row r="714" spans="1:43" ht="12.75" customHeight="1" x14ac:dyDescent="0.2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  <c r="AO714" s="62"/>
      <c r="AP714" s="62"/>
      <c r="AQ714" s="62"/>
    </row>
    <row r="715" spans="1:43" ht="12.75" customHeight="1" x14ac:dyDescent="0.2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/>
      <c r="AI715" s="62"/>
      <c r="AJ715" s="62"/>
      <c r="AK715" s="62"/>
      <c r="AL715" s="62"/>
      <c r="AM715" s="62"/>
      <c r="AN715" s="62"/>
      <c r="AO715" s="62"/>
      <c r="AP715" s="62"/>
      <c r="AQ715" s="62"/>
    </row>
    <row r="716" spans="1:43" ht="12.75" customHeight="1" x14ac:dyDescent="0.2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  <c r="AM716" s="62"/>
      <c r="AN716" s="62"/>
      <c r="AO716" s="62"/>
      <c r="AP716" s="62"/>
      <c r="AQ716" s="62"/>
    </row>
    <row r="717" spans="1:43" ht="12.75" customHeight="1" x14ac:dyDescent="0.2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  <c r="AM717" s="62"/>
      <c r="AN717" s="62"/>
      <c r="AO717" s="62"/>
      <c r="AP717" s="62"/>
      <c r="AQ717" s="62"/>
    </row>
    <row r="718" spans="1:43" ht="12.75" customHeight="1" x14ac:dyDescent="0.2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  <c r="AM718" s="62"/>
      <c r="AN718" s="62"/>
      <c r="AO718" s="62"/>
      <c r="AP718" s="62"/>
      <c r="AQ718" s="62"/>
    </row>
    <row r="719" spans="1:43" ht="12.75" customHeight="1" x14ac:dyDescent="0.2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  <c r="AM719" s="62"/>
      <c r="AN719" s="62"/>
      <c r="AO719" s="62"/>
      <c r="AP719" s="62"/>
      <c r="AQ719" s="62"/>
    </row>
    <row r="720" spans="1:43" ht="12.75" customHeight="1" x14ac:dyDescent="0.2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  <c r="AM720" s="62"/>
      <c r="AN720" s="62"/>
      <c r="AO720" s="62"/>
      <c r="AP720" s="62"/>
      <c r="AQ720" s="62"/>
    </row>
    <row r="721" spans="1:43" ht="12.75" customHeight="1" x14ac:dyDescent="0.2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  <c r="AM721" s="62"/>
      <c r="AN721" s="62"/>
      <c r="AO721" s="62"/>
      <c r="AP721" s="62"/>
      <c r="AQ721" s="62"/>
    </row>
    <row r="722" spans="1:43" ht="12.75" customHeight="1" x14ac:dyDescent="0.2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  <c r="AM722" s="62"/>
      <c r="AN722" s="62"/>
      <c r="AO722" s="62"/>
      <c r="AP722" s="62"/>
      <c r="AQ722" s="62"/>
    </row>
    <row r="723" spans="1:43" ht="12.75" customHeight="1" x14ac:dyDescent="0.2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/>
      <c r="AI723" s="62"/>
      <c r="AJ723" s="62"/>
      <c r="AK723" s="62"/>
      <c r="AL723" s="62"/>
      <c r="AM723" s="62"/>
      <c r="AN723" s="62"/>
      <c r="AO723" s="62"/>
      <c r="AP723" s="62"/>
      <c r="AQ723" s="62"/>
    </row>
    <row r="724" spans="1:43" ht="12.75" customHeight="1" x14ac:dyDescent="0.2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  <c r="AM724" s="62"/>
      <c r="AN724" s="62"/>
      <c r="AO724" s="62"/>
      <c r="AP724" s="62"/>
      <c r="AQ724" s="62"/>
    </row>
    <row r="725" spans="1:43" ht="12.75" customHeight="1" x14ac:dyDescent="0.2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  <c r="AM725" s="62"/>
      <c r="AN725" s="62"/>
      <c r="AO725" s="62"/>
      <c r="AP725" s="62"/>
      <c r="AQ725" s="62"/>
    </row>
    <row r="726" spans="1:43" ht="12.75" customHeight="1" x14ac:dyDescent="0.2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/>
      <c r="AI726" s="62"/>
      <c r="AJ726" s="62"/>
      <c r="AK726" s="62"/>
      <c r="AL726" s="62"/>
      <c r="AM726" s="62"/>
      <c r="AN726" s="62"/>
      <c r="AO726" s="62"/>
      <c r="AP726" s="62"/>
      <c r="AQ726" s="62"/>
    </row>
    <row r="727" spans="1:43" ht="12.75" customHeight="1" x14ac:dyDescent="0.2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  <c r="AM727" s="62"/>
      <c r="AN727" s="62"/>
      <c r="AO727" s="62"/>
      <c r="AP727" s="62"/>
      <c r="AQ727" s="62"/>
    </row>
    <row r="728" spans="1:43" ht="12.75" customHeight="1" x14ac:dyDescent="0.2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  <c r="AM728" s="62"/>
      <c r="AN728" s="62"/>
      <c r="AO728" s="62"/>
      <c r="AP728" s="62"/>
      <c r="AQ728" s="62"/>
    </row>
    <row r="729" spans="1:43" ht="12.75" customHeight="1" x14ac:dyDescent="0.2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  <c r="AM729" s="62"/>
      <c r="AN729" s="62"/>
      <c r="AO729" s="62"/>
      <c r="AP729" s="62"/>
      <c r="AQ729" s="62"/>
    </row>
    <row r="730" spans="1:43" ht="12.75" customHeight="1" x14ac:dyDescent="0.2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  <c r="AM730" s="62"/>
      <c r="AN730" s="62"/>
      <c r="AO730" s="62"/>
      <c r="AP730" s="62"/>
      <c r="AQ730" s="62"/>
    </row>
    <row r="731" spans="1:43" ht="12.75" customHeight="1" x14ac:dyDescent="0.2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/>
      <c r="AI731" s="62"/>
      <c r="AJ731" s="62"/>
      <c r="AK731" s="62"/>
      <c r="AL731" s="62"/>
      <c r="AM731" s="62"/>
      <c r="AN731" s="62"/>
      <c r="AO731" s="62"/>
      <c r="AP731" s="62"/>
      <c r="AQ731" s="62"/>
    </row>
    <row r="732" spans="1:43" ht="12.75" customHeight="1" x14ac:dyDescent="0.2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2"/>
      <c r="AM732" s="62"/>
      <c r="AN732" s="62"/>
      <c r="AO732" s="62"/>
      <c r="AP732" s="62"/>
      <c r="AQ732" s="62"/>
    </row>
    <row r="733" spans="1:43" ht="12.75" customHeight="1" x14ac:dyDescent="0.2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/>
      <c r="AI733" s="62"/>
      <c r="AJ733" s="62"/>
      <c r="AK733" s="62"/>
      <c r="AL733" s="62"/>
      <c r="AM733" s="62"/>
      <c r="AN733" s="62"/>
      <c r="AO733" s="62"/>
      <c r="AP733" s="62"/>
      <c r="AQ733" s="62"/>
    </row>
    <row r="734" spans="1:43" ht="12.75" customHeight="1" x14ac:dyDescent="0.2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/>
      <c r="AI734" s="62"/>
      <c r="AJ734" s="62"/>
      <c r="AK734" s="62"/>
      <c r="AL734" s="62"/>
      <c r="AM734" s="62"/>
      <c r="AN734" s="62"/>
      <c r="AO734" s="62"/>
      <c r="AP734" s="62"/>
      <c r="AQ734" s="62"/>
    </row>
    <row r="735" spans="1:43" ht="12.75" customHeight="1" x14ac:dyDescent="0.2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/>
      <c r="AI735" s="62"/>
      <c r="AJ735" s="62"/>
      <c r="AK735" s="62"/>
      <c r="AL735" s="62"/>
      <c r="AM735" s="62"/>
      <c r="AN735" s="62"/>
      <c r="AO735" s="62"/>
      <c r="AP735" s="62"/>
      <c r="AQ735" s="62"/>
    </row>
    <row r="736" spans="1:43" ht="12.75" customHeight="1" x14ac:dyDescent="0.2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/>
      <c r="AI736" s="62"/>
      <c r="AJ736" s="62"/>
      <c r="AK736" s="62"/>
      <c r="AL736" s="62"/>
      <c r="AM736" s="62"/>
      <c r="AN736" s="62"/>
      <c r="AO736" s="62"/>
      <c r="AP736" s="62"/>
      <c r="AQ736" s="62"/>
    </row>
    <row r="737" spans="1:43" ht="12.75" customHeight="1" x14ac:dyDescent="0.2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/>
      <c r="AI737" s="62"/>
      <c r="AJ737" s="62"/>
      <c r="AK737" s="62"/>
      <c r="AL737" s="62"/>
      <c r="AM737" s="62"/>
      <c r="AN737" s="62"/>
      <c r="AO737" s="62"/>
      <c r="AP737" s="62"/>
      <c r="AQ737" s="62"/>
    </row>
    <row r="738" spans="1:43" ht="12.75" customHeight="1" x14ac:dyDescent="0.2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/>
      <c r="AI738" s="62"/>
      <c r="AJ738" s="62"/>
      <c r="AK738" s="62"/>
      <c r="AL738" s="62"/>
      <c r="AM738" s="62"/>
      <c r="AN738" s="62"/>
      <c r="AO738" s="62"/>
      <c r="AP738" s="62"/>
      <c r="AQ738" s="62"/>
    </row>
    <row r="739" spans="1:43" ht="12.75" customHeight="1" x14ac:dyDescent="0.2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  <c r="AM739" s="62"/>
      <c r="AN739" s="62"/>
      <c r="AO739" s="62"/>
      <c r="AP739" s="62"/>
      <c r="AQ739" s="62"/>
    </row>
    <row r="740" spans="1:43" ht="12.75" customHeight="1" x14ac:dyDescent="0.2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/>
      <c r="AI740" s="62"/>
      <c r="AJ740" s="62"/>
      <c r="AK740" s="62"/>
      <c r="AL740" s="62"/>
      <c r="AM740" s="62"/>
      <c r="AN740" s="62"/>
      <c r="AO740" s="62"/>
      <c r="AP740" s="62"/>
      <c r="AQ740" s="62"/>
    </row>
    <row r="741" spans="1:43" ht="12.75" customHeight="1" x14ac:dyDescent="0.2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/>
      <c r="AI741" s="62"/>
      <c r="AJ741" s="62"/>
      <c r="AK741" s="62"/>
      <c r="AL741" s="62"/>
      <c r="AM741" s="62"/>
      <c r="AN741" s="62"/>
      <c r="AO741" s="62"/>
      <c r="AP741" s="62"/>
      <c r="AQ741" s="62"/>
    </row>
    <row r="742" spans="1:43" ht="12.75" customHeight="1" x14ac:dyDescent="0.2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/>
      <c r="AI742" s="62"/>
      <c r="AJ742" s="62"/>
      <c r="AK742" s="62"/>
      <c r="AL742" s="62"/>
      <c r="AM742" s="62"/>
      <c r="AN742" s="62"/>
      <c r="AO742" s="62"/>
      <c r="AP742" s="62"/>
      <c r="AQ742" s="62"/>
    </row>
    <row r="743" spans="1:43" ht="12.75" customHeight="1" x14ac:dyDescent="0.2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/>
      <c r="AI743" s="62"/>
      <c r="AJ743" s="62"/>
      <c r="AK743" s="62"/>
      <c r="AL743" s="62"/>
      <c r="AM743" s="62"/>
      <c r="AN743" s="62"/>
      <c r="AO743" s="62"/>
      <c r="AP743" s="62"/>
      <c r="AQ743" s="62"/>
    </row>
    <row r="744" spans="1:43" ht="12.75" customHeight="1" x14ac:dyDescent="0.2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  <c r="AM744" s="62"/>
      <c r="AN744" s="62"/>
      <c r="AO744" s="62"/>
      <c r="AP744" s="62"/>
      <c r="AQ744" s="62"/>
    </row>
    <row r="745" spans="1:43" ht="12.75" customHeight="1" x14ac:dyDescent="0.2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/>
      <c r="AI745" s="62"/>
      <c r="AJ745" s="62"/>
      <c r="AK745" s="62"/>
      <c r="AL745" s="62"/>
      <c r="AM745" s="62"/>
      <c r="AN745" s="62"/>
      <c r="AO745" s="62"/>
      <c r="AP745" s="62"/>
      <c r="AQ745" s="62"/>
    </row>
    <row r="746" spans="1:43" ht="12.75" customHeight="1" x14ac:dyDescent="0.2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/>
      <c r="AI746" s="62"/>
      <c r="AJ746" s="62"/>
      <c r="AK746" s="62"/>
      <c r="AL746" s="62"/>
      <c r="AM746" s="62"/>
      <c r="AN746" s="62"/>
      <c r="AO746" s="62"/>
      <c r="AP746" s="62"/>
      <c r="AQ746" s="62"/>
    </row>
    <row r="747" spans="1:43" ht="12.75" customHeight="1" x14ac:dyDescent="0.2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  <c r="AM747" s="62"/>
      <c r="AN747" s="62"/>
      <c r="AO747" s="62"/>
      <c r="AP747" s="62"/>
      <c r="AQ747" s="62"/>
    </row>
    <row r="748" spans="1:43" ht="12.75" customHeight="1" x14ac:dyDescent="0.2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/>
      <c r="AI748" s="62"/>
      <c r="AJ748" s="62"/>
      <c r="AK748" s="62"/>
      <c r="AL748" s="62"/>
      <c r="AM748" s="62"/>
      <c r="AN748" s="62"/>
      <c r="AO748" s="62"/>
      <c r="AP748" s="62"/>
      <c r="AQ748" s="62"/>
    </row>
    <row r="749" spans="1:43" ht="12.75" customHeight="1" x14ac:dyDescent="0.2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/>
      <c r="AI749" s="62"/>
      <c r="AJ749" s="62"/>
      <c r="AK749" s="62"/>
      <c r="AL749" s="62"/>
      <c r="AM749" s="62"/>
      <c r="AN749" s="62"/>
      <c r="AO749" s="62"/>
      <c r="AP749" s="62"/>
      <c r="AQ749" s="62"/>
    </row>
    <row r="750" spans="1:43" ht="12.75" customHeight="1" x14ac:dyDescent="0.2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/>
      <c r="AI750" s="62"/>
      <c r="AJ750" s="62"/>
      <c r="AK750" s="62"/>
      <c r="AL750" s="62"/>
      <c r="AM750" s="62"/>
      <c r="AN750" s="62"/>
      <c r="AO750" s="62"/>
      <c r="AP750" s="62"/>
      <c r="AQ750" s="62"/>
    </row>
    <row r="751" spans="1:43" ht="12.75" customHeight="1" x14ac:dyDescent="0.2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/>
      <c r="AI751" s="62"/>
      <c r="AJ751" s="62"/>
      <c r="AK751" s="62"/>
      <c r="AL751" s="62"/>
      <c r="AM751" s="62"/>
      <c r="AN751" s="62"/>
      <c r="AO751" s="62"/>
      <c r="AP751" s="62"/>
      <c r="AQ751" s="62"/>
    </row>
    <row r="752" spans="1:43" ht="12.75" customHeight="1" x14ac:dyDescent="0.2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/>
      <c r="AI752" s="62"/>
      <c r="AJ752" s="62"/>
      <c r="AK752" s="62"/>
      <c r="AL752" s="62"/>
      <c r="AM752" s="62"/>
      <c r="AN752" s="62"/>
      <c r="AO752" s="62"/>
      <c r="AP752" s="62"/>
      <c r="AQ752" s="62"/>
    </row>
    <row r="753" spans="1:43" ht="12.75" customHeight="1" x14ac:dyDescent="0.2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/>
      <c r="AI753" s="62"/>
      <c r="AJ753" s="62"/>
      <c r="AK753" s="62"/>
      <c r="AL753" s="62"/>
      <c r="AM753" s="62"/>
      <c r="AN753" s="62"/>
      <c r="AO753" s="62"/>
      <c r="AP753" s="62"/>
      <c r="AQ753" s="62"/>
    </row>
    <row r="754" spans="1:43" ht="12.75" customHeight="1" x14ac:dyDescent="0.2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/>
      <c r="AI754" s="62"/>
      <c r="AJ754" s="62"/>
      <c r="AK754" s="62"/>
      <c r="AL754" s="62"/>
      <c r="AM754" s="62"/>
      <c r="AN754" s="62"/>
      <c r="AO754" s="62"/>
      <c r="AP754" s="62"/>
      <c r="AQ754" s="62"/>
    </row>
    <row r="755" spans="1:43" ht="12.75" customHeight="1" x14ac:dyDescent="0.2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/>
      <c r="AI755" s="62"/>
      <c r="AJ755" s="62"/>
      <c r="AK755" s="62"/>
      <c r="AL755" s="62"/>
      <c r="AM755" s="62"/>
      <c r="AN755" s="62"/>
      <c r="AO755" s="62"/>
      <c r="AP755" s="62"/>
      <c r="AQ755" s="62"/>
    </row>
    <row r="756" spans="1:43" ht="12.75" customHeight="1" x14ac:dyDescent="0.2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/>
      <c r="AI756" s="62"/>
      <c r="AJ756" s="62"/>
      <c r="AK756" s="62"/>
      <c r="AL756" s="62"/>
      <c r="AM756" s="62"/>
      <c r="AN756" s="62"/>
      <c r="AO756" s="62"/>
      <c r="AP756" s="62"/>
      <c r="AQ756" s="62"/>
    </row>
    <row r="757" spans="1:43" ht="12.75" customHeight="1" x14ac:dyDescent="0.2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I757" s="62"/>
      <c r="AJ757" s="62"/>
      <c r="AK757" s="62"/>
      <c r="AL757" s="62"/>
      <c r="AM757" s="62"/>
      <c r="AN757" s="62"/>
      <c r="AO757" s="62"/>
      <c r="AP757" s="62"/>
      <c r="AQ757" s="62"/>
    </row>
    <row r="758" spans="1:43" ht="12.75" customHeight="1" x14ac:dyDescent="0.2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/>
      <c r="AI758" s="62"/>
      <c r="AJ758" s="62"/>
      <c r="AK758" s="62"/>
      <c r="AL758" s="62"/>
      <c r="AM758" s="62"/>
      <c r="AN758" s="62"/>
      <c r="AO758" s="62"/>
      <c r="AP758" s="62"/>
      <c r="AQ758" s="62"/>
    </row>
    <row r="759" spans="1:43" ht="12.75" customHeight="1" x14ac:dyDescent="0.2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/>
      <c r="AI759" s="62"/>
      <c r="AJ759" s="62"/>
      <c r="AK759" s="62"/>
      <c r="AL759" s="62"/>
      <c r="AM759" s="62"/>
      <c r="AN759" s="62"/>
      <c r="AO759" s="62"/>
      <c r="AP759" s="62"/>
      <c r="AQ759" s="62"/>
    </row>
    <row r="760" spans="1:43" ht="12.75" customHeight="1" x14ac:dyDescent="0.2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/>
      <c r="AI760" s="62"/>
      <c r="AJ760" s="62"/>
      <c r="AK760" s="62"/>
      <c r="AL760" s="62"/>
      <c r="AM760" s="62"/>
      <c r="AN760" s="62"/>
      <c r="AO760" s="62"/>
      <c r="AP760" s="62"/>
      <c r="AQ760" s="62"/>
    </row>
    <row r="761" spans="1:43" ht="12.75" customHeight="1" x14ac:dyDescent="0.2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/>
      <c r="AI761" s="62"/>
      <c r="AJ761" s="62"/>
      <c r="AK761" s="62"/>
      <c r="AL761" s="62"/>
      <c r="AM761" s="62"/>
      <c r="AN761" s="62"/>
      <c r="AO761" s="62"/>
      <c r="AP761" s="62"/>
      <c r="AQ761" s="62"/>
    </row>
    <row r="762" spans="1:43" ht="12.75" customHeight="1" x14ac:dyDescent="0.2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/>
      <c r="AI762" s="62"/>
      <c r="AJ762" s="62"/>
      <c r="AK762" s="62"/>
      <c r="AL762" s="62"/>
      <c r="AM762" s="62"/>
      <c r="AN762" s="62"/>
      <c r="AO762" s="62"/>
      <c r="AP762" s="62"/>
      <c r="AQ762" s="62"/>
    </row>
    <row r="763" spans="1:43" ht="12.75" customHeight="1" x14ac:dyDescent="0.2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/>
      <c r="AI763" s="62"/>
      <c r="AJ763" s="62"/>
      <c r="AK763" s="62"/>
      <c r="AL763" s="62"/>
      <c r="AM763" s="62"/>
      <c r="AN763" s="62"/>
      <c r="AO763" s="62"/>
      <c r="AP763" s="62"/>
      <c r="AQ763" s="62"/>
    </row>
    <row r="764" spans="1:43" ht="12.75" customHeight="1" x14ac:dyDescent="0.2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/>
      <c r="AI764" s="62"/>
      <c r="AJ764" s="62"/>
      <c r="AK764" s="62"/>
      <c r="AL764" s="62"/>
      <c r="AM764" s="62"/>
      <c r="AN764" s="62"/>
      <c r="AO764" s="62"/>
      <c r="AP764" s="62"/>
      <c r="AQ764" s="62"/>
    </row>
    <row r="765" spans="1:43" ht="12.75" customHeight="1" x14ac:dyDescent="0.2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/>
      <c r="AI765" s="62"/>
      <c r="AJ765" s="62"/>
      <c r="AK765" s="62"/>
      <c r="AL765" s="62"/>
      <c r="AM765" s="62"/>
      <c r="AN765" s="62"/>
      <c r="AO765" s="62"/>
      <c r="AP765" s="62"/>
      <c r="AQ765" s="62"/>
    </row>
    <row r="766" spans="1:43" ht="12.75" customHeight="1" x14ac:dyDescent="0.2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/>
      <c r="AI766" s="62"/>
      <c r="AJ766" s="62"/>
      <c r="AK766" s="62"/>
      <c r="AL766" s="62"/>
      <c r="AM766" s="62"/>
      <c r="AN766" s="62"/>
      <c r="AO766" s="62"/>
      <c r="AP766" s="62"/>
      <c r="AQ766" s="62"/>
    </row>
    <row r="767" spans="1:43" ht="12.75" customHeight="1" x14ac:dyDescent="0.2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/>
      <c r="AI767" s="62"/>
      <c r="AJ767" s="62"/>
      <c r="AK767" s="62"/>
      <c r="AL767" s="62"/>
      <c r="AM767" s="62"/>
      <c r="AN767" s="62"/>
      <c r="AO767" s="62"/>
      <c r="AP767" s="62"/>
      <c r="AQ767" s="62"/>
    </row>
    <row r="768" spans="1:43" ht="12.75" customHeight="1" x14ac:dyDescent="0.2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/>
      <c r="AI768" s="62"/>
      <c r="AJ768" s="62"/>
      <c r="AK768" s="62"/>
      <c r="AL768" s="62"/>
      <c r="AM768" s="62"/>
      <c r="AN768" s="62"/>
      <c r="AO768" s="62"/>
      <c r="AP768" s="62"/>
      <c r="AQ768" s="62"/>
    </row>
    <row r="769" spans="1:43" ht="12.75" customHeight="1" x14ac:dyDescent="0.2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/>
      <c r="AI769" s="62"/>
      <c r="AJ769" s="62"/>
      <c r="AK769" s="62"/>
      <c r="AL769" s="62"/>
      <c r="AM769" s="62"/>
      <c r="AN769" s="62"/>
      <c r="AO769" s="62"/>
      <c r="AP769" s="62"/>
      <c r="AQ769" s="62"/>
    </row>
    <row r="770" spans="1:43" ht="12.75" customHeight="1" x14ac:dyDescent="0.2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  <c r="AP770" s="62"/>
      <c r="AQ770" s="62"/>
    </row>
    <row r="771" spans="1:43" ht="12.75" customHeight="1" x14ac:dyDescent="0.2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2"/>
      <c r="AK771" s="62"/>
      <c r="AL771" s="62"/>
      <c r="AM771" s="62"/>
      <c r="AN771" s="62"/>
      <c r="AO771" s="62"/>
      <c r="AP771" s="62"/>
      <c r="AQ771" s="62"/>
    </row>
    <row r="772" spans="1:43" ht="12.75" customHeight="1" x14ac:dyDescent="0.2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/>
      <c r="AI772" s="62"/>
      <c r="AJ772" s="62"/>
      <c r="AK772" s="62"/>
      <c r="AL772" s="62"/>
      <c r="AM772" s="62"/>
      <c r="AN772" s="62"/>
      <c r="AO772" s="62"/>
      <c r="AP772" s="62"/>
      <c r="AQ772" s="62"/>
    </row>
    <row r="773" spans="1:43" ht="12.75" customHeight="1" x14ac:dyDescent="0.2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/>
      <c r="AI773" s="62"/>
      <c r="AJ773" s="62"/>
      <c r="AK773" s="62"/>
      <c r="AL773" s="62"/>
      <c r="AM773" s="62"/>
      <c r="AN773" s="62"/>
      <c r="AO773" s="62"/>
      <c r="AP773" s="62"/>
      <c r="AQ773" s="62"/>
    </row>
    <row r="774" spans="1:43" ht="12.75" customHeight="1" x14ac:dyDescent="0.2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/>
      <c r="AI774" s="62"/>
      <c r="AJ774" s="62"/>
      <c r="AK774" s="62"/>
      <c r="AL774" s="62"/>
      <c r="AM774" s="62"/>
      <c r="AN774" s="62"/>
      <c r="AO774" s="62"/>
      <c r="AP774" s="62"/>
      <c r="AQ774" s="62"/>
    </row>
    <row r="775" spans="1:43" ht="12.75" customHeight="1" x14ac:dyDescent="0.2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/>
      <c r="AI775" s="62"/>
      <c r="AJ775" s="62"/>
      <c r="AK775" s="62"/>
      <c r="AL775" s="62"/>
      <c r="AM775" s="62"/>
      <c r="AN775" s="62"/>
      <c r="AO775" s="62"/>
      <c r="AP775" s="62"/>
      <c r="AQ775" s="62"/>
    </row>
    <row r="776" spans="1:43" ht="12.75" customHeight="1" x14ac:dyDescent="0.2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/>
      <c r="AI776" s="62"/>
      <c r="AJ776" s="62"/>
      <c r="AK776" s="62"/>
      <c r="AL776" s="62"/>
      <c r="AM776" s="62"/>
      <c r="AN776" s="62"/>
      <c r="AO776" s="62"/>
      <c r="AP776" s="62"/>
      <c r="AQ776" s="62"/>
    </row>
    <row r="777" spans="1:43" ht="12.75" customHeight="1" x14ac:dyDescent="0.2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  <c r="AM777" s="62"/>
      <c r="AN777" s="62"/>
      <c r="AO777" s="62"/>
      <c r="AP777" s="62"/>
      <c r="AQ777" s="62"/>
    </row>
    <row r="778" spans="1:43" ht="12.75" customHeight="1" x14ac:dyDescent="0.2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  <c r="AM778" s="62"/>
      <c r="AN778" s="62"/>
      <c r="AO778" s="62"/>
      <c r="AP778" s="62"/>
      <c r="AQ778" s="62"/>
    </row>
    <row r="779" spans="1:43" ht="12.75" customHeight="1" x14ac:dyDescent="0.2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  <c r="AM779" s="62"/>
      <c r="AN779" s="62"/>
      <c r="AO779" s="62"/>
      <c r="AP779" s="62"/>
      <c r="AQ779" s="62"/>
    </row>
    <row r="780" spans="1:43" ht="12.75" customHeight="1" x14ac:dyDescent="0.2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  <c r="AM780" s="62"/>
      <c r="AN780" s="62"/>
      <c r="AO780" s="62"/>
      <c r="AP780" s="62"/>
      <c r="AQ780" s="62"/>
    </row>
    <row r="781" spans="1:43" ht="12.75" customHeight="1" x14ac:dyDescent="0.2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/>
      <c r="AI781" s="62"/>
      <c r="AJ781" s="62"/>
      <c r="AK781" s="62"/>
      <c r="AL781" s="62"/>
      <c r="AM781" s="62"/>
      <c r="AN781" s="62"/>
      <c r="AO781" s="62"/>
      <c r="AP781" s="62"/>
      <c r="AQ781" s="62"/>
    </row>
    <row r="782" spans="1:43" ht="12.75" customHeight="1" x14ac:dyDescent="0.2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/>
      <c r="AI782" s="62"/>
      <c r="AJ782" s="62"/>
      <c r="AK782" s="62"/>
      <c r="AL782" s="62"/>
      <c r="AM782" s="62"/>
      <c r="AN782" s="62"/>
      <c r="AO782" s="62"/>
      <c r="AP782" s="62"/>
      <c r="AQ782" s="62"/>
    </row>
    <row r="783" spans="1:43" ht="12.75" customHeight="1" x14ac:dyDescent="0.2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  <c r="AO783" s="62"/>
      <c r="AP783" s="62"/>
      <c r="AQ783" s="62"/>
    </row>
    <row r="784" spans="1:43" ht="12.75" customHeight="1" x14ac:dyDescent="0.2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62"/>
      <c r="AH784" s="62"/>
      <c r="AI784" s="62"/>
      <c r="AJ784" s="62"/>
      <c r="AK784" s="62"/>
      <c r="AL784" s="62"/>
      <c r="AM784" s="62"/>
      <c r="AN784" s="62"/>
      <c r="AO784" s="62"/>
      <c r="AP784" s="62"/>
      <c r="AQ784" s="62"/>
    </row>
    <row r="785" spans="1:43" ht="12.75" customHeight="1" x14ac:dyDescent="0.2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</row>
    <row r="786" spans="1:43" ht="12.75" customHeight="1" x14ac:dyDescent="0.2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/>
      <c r="AI786" s="62"/>
      <c r="AJ786" s="62"/>
      <c r="AK786" s="62"/>
      <c r="AL786" s="62"/>
      <c r="AM786" s="62"/>
      <c r="AN786" s="62"/>
      <c r="AO786" s="62"/>
      <c r="AP786" s="62"/>
      <c r="AQ786" s="62"/>
    </row>
    <row r="787" spans="1:43" ht="12.75" customHeight="1" x14ac:dyDescent="0.2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/>
      <c r="AI787" s="62"/>
      <c r="AJ787" s="62"/>
      <c r="AK787" s="62"/>
      <c r="AL787" s="62"/>
      <c r="AM787" s="62"/>
      <c r="AN787" s="62"/>
      <c r="AO787" s="62"/>
      <c r="AP787" s="62"/>
      <c r="AQ787" s="62"/>
    </row>
    <row r="788" spans="1:43" ht="12.75" customHeight="1" x14ac:dyDescent="0.2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  <c r="AM788" s="62"/>
      <c r="AN788" s="62"/>
      <c r="AO788" s="62"/>
      <c r="AP788" s="62"/>
      <c r="AQ788" s="62"/>
    </row>
    <row r="789" spans="1:43" ht="12.75" customHeight="1" x14ac:dyDescent="0.2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/>
      <c r="AI789" s="62"/>
      <c r="AJ789" s="62"/>
      <c r="AK789" s="62"/>
      <c r="AL789" s="62"/>
      <c r="AM789" s="62"/>
      <c r="AN789" s="62"/>
      <c r="AO789" s="62"/>
      <c r="AP789" s="62"/>
      <c r="AQ789" s="62"/>
    </row>
    <row r="790" spans="1:43" ht="12.75" customHeight="1" x14ac:dyDescent="0.2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/>
      <c r="AI790" s="62"/>
      <c r="AJ790" s="62"/>
      <c r="AK790" s="62"/>
      <c r="AL790" s="62"/>
      <c r="AM790" s="62"/>
      <c r="AN790" s="62"/>
      <c r="AO790" s="62"/>
      <c r="AP790" s="62"/>
      <c r="AQ790" s="62"/>
    </row>
    <row r="791" spans="1:43" ht="12.75" customHeight="1" x14ac:dyDescent="0.2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/>
      <c r="AI791" s="62"/>
      <c r="AJ791" s="62"/>
      <c r="AK791" s="62"/>
      <c r="AL791" s="62"/>
      <c r="AM791" s="62"/>
      <c r="AN791" s="62"/>
      <c r="AO791" s="62"/>
      <c r="AP791" s="62"/>
      <c r="AQ791" s="62"/>
    </row>
    <row r="792" spans="1:43" ht="12.75" customHeight="1" x14ac:dyDescent="0.2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/>
      <c r="AI792" s="62"/>
      <c r="AJ792" s="62"/>
      <c r="AK792" s="62"/>
      <c r="AL792" s="62"/>
      <c r="AM792" s="62"/>
      <c r="AN792" s="62"/>
      <c r="AO792" s="62"/>
      <c r="AP792" s="62"/>
      <c r="AQ792" s="62"/>
    </row>
    <row r="793" spans="1:43" ht="12.75" customHeight="1" x14ac:dyDescent="0.2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  <c r="AM793" s="62"/>
      <c r="AN793" s="62"/>
      <c r="AO793" s="62"/>
      <c r="AP793" s="62"/>
      <c r="AQ793" s="62"/>
    </row>
    <row r="794" spans="1:43" ht="12.75" customHeight="1" x14ac:dyDescent="0.2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/>
      <c r="AI794" s="62"/>
      <c r="AJ794" s="62"/>
      <c r="AK794" s="62"/>
      <c r="AL794" s="62"/>
      <c r="AM794" s="62"/>
      <c r="AN794" s="62"/>
      <c r="AO794" s="62"/>
      <c r="AP794" s="62"/>
      <c r="AQ794" s="62"/>
    </row>
    <row r="795" spans="1:43" ht="12.75" customHeight="1" x14ac:dyDescent="0.2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  <c r="AO795" s="62"/>
      <c r="AP795" s="62"/>
      <c r="AQ795" s="62"/>
    </row>
    <row r="796" spans="1:43" ht="12.75" customHeight="1" x14ac:dyDescent="0.2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  <c r="AM796" s="62"/>
      <c r="AN796" s="62"/>
      <c r="AO796" s="62"/>
      <c r="AP796" s="62"/>
      <c r="AQ796" s="62"/>
    </row>
    <row r="797" spans="1:43" ht="12.75" customHeight="1" x14ac:dyDescent="0.2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  <c r="AM797" s="62"/>
      <c r="AN797" s="62"/>
      <c r="AO797" s="62"/>
      <c r="AP797" s="62"/>
      <c r="AQ797" s="62"/>
    </row>
    <row r="798" spans="1:43" ht="12.75" customHeight="1" x14ac:dyDescent="0.2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  <c r="AM798" s="62"/>
      <c r="AN798" s="62"/>
      <c r="AO798" s="62"/>
      <c r="AP798" s="62"/>
      <c r="AQ798" s="62"/>
    </row>
    <row r="799" spans="1:43" ht="12.75" customHeight="1" x14ac:dyDescent="0.2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/>
      <c r="AI799" s="62"/>
      <c r="AJ799" s="62"/>
      <c r="AK799" s="62"/>
      <c r="AL799" s="62"/>
      <c r="AM799" s="62"/>
      <c r="AN799" s="62"/>
      <c r="AO799" s="62"/>
      <c r="AP799" s="62"/>
      <c r="AQ799" s="62"/>
    </row>
    <row r="800" spans="1:43" ht="12.75" customHeight="1" x14ac:dyDescent="0.2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  <c r="AO800" s="62"/>
      <c r="AP800" s="62"/>
      <c r="AQ800" s="62"/>
    </row>
    <row r="801" spans="1:43" ht="12.75" customHeight="1" x14ac:dyDescent="0.2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  <c r="AM801" s="62"/>
      <c r="AN801" s="62"/>
      <c r="AO801" s="62"/>
      <c r="AP801" s="62"/>
      <c r="AQ801" s="62"/>
    </row>
    <row r="802" spans="1:43" ht="12.75" customHeight="1" x14ac:dyDescent="0.2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  <c r="AM802" s="62"/>
      <c r="AN802" s="62"/>
      <c r="AO802" s="62"/>
      <c r="AP802" s="62"/>
      <c r="AQ802" s="62"/>
    </row>
    <row r="803" spans="1:43" ht="12.75" customHeight="1" x14ac:dyDescent="0.2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  <c r="AO803" s="62"/>
      <c r="AP803" s="62"/>
      <c r="AQ803" s="62"/>
    </row>
    <row r="804" spans="1:43" ht="12.75" customHeight="1" x14ac:dyDescent="0.2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/>
      <c r="AI804" s="62"/>
      <c r="AJ804" s="62"/>
      <c r="AK804" s="62"/>
      <c r="AL804" s="62"/>
      <c r="AM804" s="62"/>
      <c r="AN804" s="62"/>
      <c r="AO804" s="62"/>
      <c r="AP804" s="62"/>
      <c r="AQ804" s="62"/>
    </row>
    <row r="805" spans="1:43" ht="12.75" customHeight="1" x14ac:dyDescent="0.2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/>
      <c r="AI805" s="62"/>
      <c r="AJ805" s="62"/>
      <c r="AK805" s="62"/>
      <c r="AL805" s="62"/>
      <c r="AM805" s="62"/>
      <c r="AN805" s="62"/>
      <c r="AO805" s="62"/>
      <c r="AP805" s="62"/>
      <c r="AQ805" s="62"/>
    </row>
    <row r="806" spans="1:43" ht="12.75" customHeight="1" x14ac:dyDescent="0.2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/>
      <c r="AI806" s="62"/>
      <c r="AJ806" s="62"/>
      <c r="AK806" s="62"/>
      <c r="AL806" s="62"/>
      <c r="AM806" s="62"/>
      <c r="AN806" s="62"/>
      <c r="AO806" s="62"/>
      <c r="AP806" s="62"/>
      <c r="AQ806" s="62"/>
    </row>
    <row r="807" spans="1:43" ht="12.75" customHeight="1" x14ac:dyDescent="0.2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/>
      <c r="AI807" s="62"/>
      <c r="AJ807" s="62"/>
      <c r="AK807" s="62"/>
      <c r="AL807" s="62"/>
      <c r="AM807" s="62"/>
      <c r="AN807" s="62"/>
      <c r="AO807" s="62"/>
      <c r="AP807" s="62"/>
      <c r="AQ807" s="62"/>
    </row>
    <row r="808" spans="1:43" ht="12.75" customHeight="1" x14ac:dyDescent="0.2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/>
      <c r="AI808" s="62"/>
      <c r="AJ808" s="62"/>
      <c r="AK808" s="62"/>
      <c r="AL808" s="62"/>
      <c r="AM808" s="62"/>
      <c r="AN808" s="62"/>
      <c r="AO808" s="62"/>
      <c r="AP808" s="62"/>
      <c r="AQ808" s="62"/>
    </row>
    <row r="809" spans="1:43" ht="12.75" customHeight="1" x14ac:dyDescent="0.2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/>
      <c r="AI809" s="62"/>
      <c r="AJ809" s="62"/>
      <c r="AK809" s="62"/>
      <c r="AL809" s="62"/>
      <c r="AM809" s="62"/>
      <c r="AN809" s="62"/>
      <c r="AO809" s="62"/>
      <c r="AP809" s="62"/>
      <c r="AQ809" s="62"/>
    </row>
    <row r="810" spans="1:43" ht="12.75" customHeight="1" x14ac:dyDescent="0.2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  <c r="AM810" s="62"/>
      <c r="AN810" s="62"/>
      <c r="AO810" s="62"/>
      <c r="AP810" s="62"/>
      <c r="AQ810" s="62"/>
    </row>
    <row r="811" spans="1:43" ht="12.75" customHeight="1" x14ac:dyDescent="0.2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/>
      <c r="AI811" s="62"/>
      <c r="AJ811" s="62"/>
      <c r="AK811" s="62"/>
      <c r="AL811" s="62"/>
      <c r="AM811" s="62"/>
      <c r="AN811" s="62"/>
      <c r="AO811" s="62"/>
      <c r="AP811" s="62"/>
      <c r="AQ811" s="62"/>
    </row>
    <row r="812" spans="1:43" ht="12.75" customHeight="1" x14ac:dyDescent="0.2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/>
      <c r="AI812" s="62"/>
      <c r="AJ812" s="62"/>
      <c r="AK812" s="62"/>
      <c r="AL812" s="62"/>
      <c r="AM812" s="62"/>
      <c r="AN812" s="62"/>
      <c r="AO812" s="62"/>
      <c r="AP812" s="62"/>
      <c r="AQ812" s="62"/>
    </row>
    <row r="813" spans="1:43" ht="12.75" customHeight="1" x14ac:dyDescent="0.2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/>
      <c r="AI813" s="62"/>
      <c r="AJ813" s="62"/>
      <c r="AK813" s="62"/>
      <c r="AL813" s="62"/>
      <c r="AM813" s="62"/>
      <c r="AN813" s="62"/>
      <c r="AO813" s="62"/>
      <c r="AP813" s="62"/>
      <c r="AQ813" s="62"/>
    </row>
    <row r="814" spans="1:43" ht="12.75" customHeight="1" x14ac:dyDescent="0.2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/>
      <c r="AI814" s="62"/>
      <c r="AJ814" s="62"/>
      <c r="AK814" s="62"/>
      <c r="AL814" s="62"/>
      <c r="AM814" s="62"/>
      <c r="AN814" s="62"/>
      <c r="AO814" s="62"/>
      <c r="AP814" s="62"/>
      <c r="AQ814" s="62"/>
    </row>
    <row r="815" spans="1:43" ht="12.75" customHeight="1" x14ac:dyDescent="0.2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/>
      <c r="AI815" s="62"/>
      <c r="AJ815" s="62"/>
      <c r="AK815" s="62"/>
      <c r="AL815" s="62"/>
      <c r="AM815" s="62"/>
      <c r="AN815" s="62"/>
      <c r="AO815" s="62"/>
      <c r="AP815" s="62"/>
      <c r="AQ815" s="62"/>
    </row>
    <row r="816" spans="1:43" ht="12.75" customHeight="1" x14ac:dyDescent="0.2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/>
      <c r="AI816" s="62"/>
      <c r="AJ816" s="62"/>
      <c r="AK816" s="62"/>
      <c r="AL816" s="62"/>
      <c r="AM816" s="62"/>
      <c r="AN816" s="62"/>
      <c r="AO816" s="62"/>
      <c r="AP816" s="62"/>
      <c r="AQ816" s="62"/>
    </row>
    <row r="817" spans="1:43" ht="12.75" customHeight="1" x14ac:dyDescent="0.2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/>
      <c r="AI817" s="62"/>
      <c r="AJ817" s="62"/>
      <c r="AK817" s="62"/>
      <c r="AL817" s="62"/>
      <c r="AM817" s="62"/>
      <c r="AN817" s="62"/>
      <c r="AO817" s="62"/>
      <c r="AP817" s="62"/>
      <c r="AQ817" s="62"/>
    </row>
    <row r="818" spans="1:43" ht="12.75" customHeight="1" x14ac:dyDescent="0.2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/>
      <c r="AI818" s="62"/>
      <c r="AJ818" s="62"/>
      <c r="AK818" s="62"/>
      <c r="AL818" s="62"/>
      <c r="AM818" s="62"/>
      <c r="AN818" s="62"/>
      <c r="AO818" s="62"/>
      <c r="AP818" s="62"/>
      <c r="AQ818" s="62"/>
    </row>
    <row r="819" spans="1:43" ht="12.75" customHeight="1" x14ac:dyDescent="0.2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/>
      <c r="AI819" s="62"/>
      <c r="AJ819" s="62"/>
      <c r="AK819" s="62"/>
      <c r="AL819" s="62"/>
      <c r="AM819" s="62"/>
      <c r="AN819" s="62"/>
      <c r="AO819" s="62"/>
      <c r="AP819" s="62"/>
      <c r="AQ819" s="62"/>
    </row>
    <row r="820" spans="1:43" ht="12.75" customHeight="1" x14ac:dyDescent="0.2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/>
      <c r="AI820" s="62"/>
      <c r="AJ820" s="62"/>
      <c r="AK820" s="62"/>
      <c r="AL820" s="62"/>
      <c r="AM820" s="62"/>
      <c r="AN820" s="62"/>
      <c r="AO820" s="62"/>
      <c r="AP820" s="62"/>
      <c r="AQ820" s="62"/>
    </row>
    <row r="821" spans="1:43" ht="12.75" customHeight="1" x14ac:dyDescent="0.2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/>
      <c r="AI821" s="62"/>
      <c r="AJ821" s="62"/>
      <c r="AK821" s="62"/>
      <c r="AL821" s="62"/>
      <c r="AM821" s="62"/>
      <c r="AN821" s="62"/>
      <c r="AO821" s="62"/>
      <c r="AP821" s="62"/>
      <c r="AQ821" s="62"/>
    </row>
    <row r="822" spans="1:43" ht="12.75" customHeight="1" x14ac:dyDescent="0.2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/>
      <c r="AI822" s="62"/>
      <c r="AJ822" s="62"/>
      <c r="AK822" s="62"/>
      <c r="AL822" s="62"/>
      <c r="AM822" s="62"/>
      <c r="AN822" s="62"/>
      <c r="AO822" s="62"/>
      <c r="AP822" s="62"/>
      <c r="AQ822" s="62"/>
    </row>
    <row r="823" spans="1:43" ht="12.75" customHeight="1" x14ac:dyDescent="0.2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/>
      <c r="AI823" s="62"/>
      <c r="AJ823" s="62"/>
      <c r="AK823" s="62"/>
      <c r="AL823" s="62"/>
      <c r="AM823" s="62"/>
      <c r="AN823" s="62"/>
      <c r="AO823" s="62"/>
      <c r="AP823" s="62"/>
      <c r="AQ823" s="62"/>
    </row>
    <row r="824" spans="1:43" ht="12.75" customHeight="1" x14ac:dyDescent="0.2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/>
      <c r="AI824" s="62"/>
      <c r="AJ824" s="62"/>
      <c r="AK824" s="62"/>
      <c r="AL824" s="62"/>
      <c r="AM824" s="62"/>
      <c r="AN824" s="62"/>
      <c r="AO824" s="62"/>
      <c r="AP824" s="62"/>
      <c r="AQ824" s="62"/>
    </row>
    <row r="825" spans="1:43" ht="12.75" customHeight="1" x14ac:dyDescent="0.2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/>
      <c r="AI825" s="62"/>
      <c r="AJ825" s="62"/>
      <c r="AK825" s="62"/>
      <c r="AL825" s="62"/>
      <c r="AM825" s="62"/>
      <c r="AN825" s="62"/>
      <c r="AO825" s="62"/>
      <c r="AP825" s="62"/>
      <c r="AQ825" s="62"/>
    </row>
    <row r="826" spans="1:43" ht="12.75" customHeight="1" x14ac:dyDescent="0.2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/>
      <c r="AI826" s="62"/>
      <c r="AJ826" s="62"/>
      <c r="AK826" s="62"/>
      <c r="AL826" s="62"/>
      <c r="AM826" s="62"/>
      <c r="AN826" s="62"/>
      <c r="AO826" s="62"/>
      <c r="AP826" s="62"/>
      <c r="AQ826" s="62"/>
    </row>
    <row r="827" spans="1:43" ht="12.75" customHeight="1" x14ac:dyDescent="0.2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  <c r="AM827" s="62"/>
      <c r="AN827" s="62"/>
      <c r="AO827" s="62"/>
      <c r="AP827" s="62"/>
      <c r="AQ827" s="62"/>
    </row>
    <row r="828" spans="1:43" ht="12.75" customHeight="1" x14ac:dyDescent="0.2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/>
      <c r="AI828" s="62"/>
      <c r="AJ828" s="62"/>
      <c r="AK828" s="62"/>
      <c r="AL828" s="62"/>
      <c r="AM828" s="62"/>
      <c r="AN828" s="62"/>
      <c r="AO828" s="62"/>
      <c r="AP828" s="62"/>
      <c r="AQ828" s="62"/>
    </row>
    <row r="829" spans="1:43" ht="12.75" customHeight="1" x14ac:dyDescent="0.2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/>
      <c r="AI829" s="62"/>
      <c r="AJ829" s="62"/>
      <c r="AK829" s="62"/>
      <c r="AL829" s="62"/>
      <c r="AM829" s="62"/>
      <c r="AN829" s="62"/>
      <c r="AO829" s="62"/>
      <c r="AP829" s="62"/>
      <c r="AQ829" s="62"/>
    </row>
    <row r="830" spans="1:43" ht="12.75" customHeight="1" x14ac:dyDescent="0.2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/>
      <c r="AI830" s="62"/>
      <c r="AJ830" s="62"/>
      <c r="AK830" s="62"/>
      <c r="AL830" s="62"/>
      <c r="AM830" s="62"/>
      <c r="AN830" s="62"/>
      <c r="AO830" s="62"/>
      <c r="AP830" s="62"/>
      <c r="AQ830" s="62"/>
    </row>
    <row r="831" spans="1:43" ht="12.75" customHeight="1" x14ac:dyDescent="0.2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/>
      <c r="AI831" s="62"/>
      <c r="AJ831" s="62"/>
      <c r="AK831" s="62"/>
      <c r="AL831" s="62"/>
      <c r="AM831" s="62"/>
      <c r="AN831" s="62"/>
      <c r="AO831" s="62"/>
      <c r="AP831" s="62"/>
      <c r="AQ831" s="62"/>
    </row>
    <row r="832" spans="1:43" ht="12.75" customHeight="1" x14ac:dyDescent="0.2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  <c r="AO832" s="62"/>
      <c r="AP832" s="62"/>
      <c r="AQ832" s="62"/>
    </row>
    <row r="833" spans="1:43" ht="12.75" customHeight="1" x14ac:dyDescent="0.2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/>
      <c r="AI833" s="62"/>
      <c r="AJ833" s="62"/>
      <c r="AK833" s="62"/>
      <c r="AL833" s="62"/>
      <c r="AM833" s="62"/>
      <c r="AN833" s="62"/>
      <c r="AO833" s="62"/>
      <c r="AP833" s="62"/>
      <c r="AQ833" s="62"/>
    </row>
    <row r="834" spans="1:43" ht="12.75" customHeight="1" x14ac:dyDescent="0.2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/>
      <c r="AI834" s="62"/>
      <c r="AJ834" s="62"/>
      <c r="AK834" s="62"/>
      <c r="AL834" s="62"/>
      <c r="AM834" s="62"/>
      <c r="AN834" s="62"/>
      <c r="AO834" s="62"/>
      <c r="AP834" s="62"/>
      <c r="AQ834" s="62"/>
    </row>
    <row r="835" spans="1:43" ht="12.75" customHeight="1" x14ac:dyDescent="0.2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  <c r="AM835" s="62"/>
      <c r="AN835" s="62"/>
      <c r="AO835" s="62"/>
      <c r="AP835" s="62"/>
      <c r="AQ835" s="62"/>
    </row>
    <row r="836" spans="1:43" ht="12.75" customHeight="1" x14ac:dyDescent="0.2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  <c r="AO836" s="62"/>
      <c r="AP836" s="62"/>
      <c r="AQ836" s="62"/>
    </row>
    <row r="837" spans="1:43" ht="12.75" customHeight="1" x14ac:dyDescent="0.2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  <c r="AO837" s="62"/>
      <c r="AP837" s="62"/>
      <c r="AQ837" s="62"/>
    </row>
    <row r="838" spans="1:43" ht="12.75" customHeight="1" x14ac:dyDescent="0.2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  <c r="AM838" s="62"/>
      <c r="AN838" s="62"/>
      <c r="AO838" s="62"/>
      <c r="AP838" s="62"/>
      <c r="AQ838" s="62"/>
    </row>
    <row r="839" spans="1:43" ht="12.75" customHeight="1" x14ac:dyDescent="0.2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  <c r="AM839" s="62"/>
      <c r="AN839" s="62"/>
      <c r="AO839" s="62"/>
      <c r="AP839" s="62"/>
      <c r="AQ839" s="62"/>
    </row>
    <row r="840" spans="1:43" ht="12.75" customHeight="1" x14ac:dyDescent="0.2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  <c r="AM840" s="62"/>
      <c r="AN840" s="62"/>
      <c r="AO840" s="62"/>
      <c r="AP840" s="62"/>
      <c r="AQ840" s="62"/>
    </row>
    <row r="841" spans="1:43" ht="12.75" customHeight="1" x14ac:dyDescent="0.2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  <c r="AM841" s="62"/>
      <c r="AN841" s="62"/>
      <c r="AO841" s="62"/>
      <c r="AP841" s="62"/>
      <c r="AQ841" s="62"/>
    </row>
    <row r="842" spans="1:43" ht="12.75" customHeight="1" x14ac:dyDescent="0.2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  <c r="AO842" s="62"/>
      <c r="AP842" s="62"/>
      <c r="AQ842" s="62"/>
    </row>
    <row r="843" spans="1:43" ht="12.75" customHeight="1" x14ac:dyDescent="0.2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  <c r="AM843" s="62"/>
      <c r="AN843" s="62"/>
      <c r="AO843" s="62"/>
      <c r="AP843" s="62"/>
      <c r="AQ843" s="62"/>
    </row>
    <row r="844" spans="1:43" ht="12.75" customHeight="1" x14ac:dyDescent="0.2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  <c r="AM844" s="62"/>
      <c r="AN844" s="62"/>
      <c r="AO844" s="62"/>
      <c r="AP844" s="62"/>
      <c r="AQ844" s="62"/>
    </row>
    <row r="845" spans="1:43" ht="12.75" customHeight="1" x14ac:dyDescent="0.2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  <c r="AM845" s="62"/>
      <c r="AN845" s="62"/>
      <c r="AO845" s="62"/>
      <c r="AP845" s="62"/>
      <c r="AQ845" s="62"/>
    </row>
    <row r="846" spans="1:43" ht="12.75" customHeight="1" x14ac:dyDescent="0.2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  <c r="AM846" s="62"/>
      <c r="AN846" s="62"/>
      <c r="AO846" s="62"/>
      <c r="AP846" s="62"/>
      <c r="AQ846" s="62"/>
    </row>
    <row r="847" spans="1:43" ht="12.75" customHeight="1" x14ac:dyDescent="0.2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  <c r="AM847" s="62"/>
      <c r="AN847" s="62"/>
      <c r="AO847" s="62"/>
      <c r="AP847" s="62"/>
      <c r="AQ847" s="62"/>
    </row>
    <row r="848" spans="1:43" ht="12.75" customHeight="1" x14ac:dyDescent="0.2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/>
      <c r="AI848" s="62"/>
      <c r="AJ848" s="62"/>
      <c r="AK848" s="62"/>
      <c r="AL848" s="62"/>
      <c r="AM848" s="62"/>
      <c r="AN848" s="62"/>
      <c r="AO848" s="62"/>
      <c r="AP848" s="62"/>
      <c r="AQ848" s="62"/>
    </row>
    <row r="849" spans="1:43" ht="12.75" customHeight="1" x14ac:dyDescent="0.2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  <c r="AM849" s="62"/>
      <c r="AN849" s="62"/>
      <c r="AO849" s="62"/>
      <c r="AP849" s="62"/>
      <c r="AQ849" s="62"/>
    </row>
    <row r="850" spans="1:43" ht="12.75" customHeight="1" x14ac:dyDescent="0.2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  <c r="AM850" s="62"/>
      <c r="AN850" s="62"/>
      <c r="AO850" s="62"/>
      <c r="AP850" s="62"/>
      <c r="AQ850" s="62"/>
    </row>
    <row r="851" spans="1:43" ht="12.75" customHeight="1" x14ac:dyDescent="0.2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  <c r="AM851" s="62"/>
      <c r="AN851" s="62"/>
      <c r="AO851" s="62"/>
      <c r="AP851" s="62"/>
      <c r="AQ851" s="62"/>
    </row>
    <row r="852" spans="1:43" ht="12.75" customHeight="1" x14ac:dyDescent="0.2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  <c r="AM852" s="62"/>
      <c r="AN852" s="62"/>
      <c r="AO852" s="62"/>
      <c r="AP852" s="62"/>
      <c r="AQ852" s="62"/>
    </row>
    <row r="853" spans="1:43" ht="12.75" customHeight="1" x14ac:dyDescent="0.2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  <c r="AM853" s="62"/>
      <c r="AN853" s="62"/>
      <c r="AO853" s="62"/>
      <c r="AP853" s="62"/>
      <c r="AQ853" s="62"/>
    </row>
    <row r="854" spans="1:43" ht="12.75" customHeight="1" x14ac:dyDescent="0.2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  <c r="AO854" s="62"/>
      <c r="AP854" s="62"/>
      <c r="AQ854" s="62"/>
    </row>
    <row r="855" spans="1:43" ht="12.75" customHeight="1" x14ac:dyDescent="0.2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  <c r="AM855" s="62"/>
      <c r="AN855" s="62"/>
      <c r="AO855" s="62"/>
      <c r="AP855" s="62"/>
      <c r="AQ855" s="62"/>
    </row>
    <row r="856" spans="1:43" ht="12.75" customHeight="1" x14ac:dyDescent="0.2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  <c r="AM856" s="62"/>
      <c r="AN856" s="62"/>
      <c r="AO856" s="62"/>
      <c r="AP856" s="62"/>
      <c r="AQ856" s="62"/>
    </row>
    <row r="857" spans="1:43" ht="12.75" customHeight="1" x14ac:dyDescent="0.2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  <c r="AO857" s="62"/>
      <c r="AP857" s="62"/>
      <c r="AQ857" s="62"/>
    </row>
    <row r="858" spans="1:43" ht="12.75" customHeight="1" x14ac:dyDescent="0.2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  <c r="AM858" s="62"/>
      <c r="AN858" s="62"/>
      <c r="AO858" s="62"/>
      <c r="AP858" s="62"/>
      <c r="AQ858" s="62"/>
    </row>
    <row r="859" spans="1:43" ht="12.75" customHeight="1" x14ac:dyDescent="0.2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  <c r="AM859" s="62"/>
      <c r="AN859" s="62"/>
      <c r="AO859" s="62"/>
      <c r="AP859" s="62"/>
      <c r="AQ859" s="62"/>
    </row>
    <row r="860" spans="1:43" ht="12.75" customHeight="1" x14ac:dyDescent="0.2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  <c r="AO860" s="62"/>
      <c r="AP860" s="62"/>
      <c r="AQ860" s="62"/>
    </row>
    <row r="861" spans="1:43" ht="12.75" customHeight="1" x14ac:dyDescent="0.2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  <c r="AM861" s="62"/>
      <c r="AN861" s="62"/>
      <c r="AO861" s="62"/>
      <c r="AP861" s="62"/>
      <c r="AQ861" s="62"/>
    </row>
    <row r="862" spans="1:43" ht="12.75" customHeight="1" x14ac:dyDescent="0.2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  <c r="AO862" s="62"/>
      <c r="AP862" s="62"/>
      <c r="AQ862" s="62"/>
    </row>
    <row r="863" spans="1:43" ht="12.75" customHeight="1" x14ac:dyDescent="0.2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  <c r="AM863" s="62"/>
      <c r="AN863" s="62"/>
      <c r="AO863" s="62"/>
      <c r="AP863" s="62"/>
      <c r="AQ863" s="62"/>
    </row>
    <row r="864" spans="1:43" ht="12.75" customHeight="1" x14ac:dyDescent="0.2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  <c r="AM864" s="62"/>
      <c r="AN864" s="62"/>
      <c r="AO864" s="62"/>
      <c r="AP864" s="62"/>
      <c r="AQ864" s="62"/>
    </row>
    <row r="865" spans="1:43" ht="12.75" customHeight="1" x14ac:dyDescent="0.2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  <c r="AO865" s="62"/>
      <c r="AP865" s="62"/>
      <c r="AQ865" s="62"/>
    </row>
    <row r="866" spans="1:43" ht="12.75" customHeight="1" x14ac:dyDescent="0.2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  <c r="AO866" s="62"/>
      <c r="AP866" s="62"/>
      <c r="AQ866" s="62"/>
    </row>
    <row r="867" spans="1:43" ht="12.75" customHeight="1" x14ac:dyDescent="0.2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  <c r="AO867" s="62"/>
      <c r="AP867" s="62"/>
      <c r="AQ867" s="62"/>
    </row>
    <row r="868" spans="1:43" ht="12.75" customHeight="1" x14ac:dyDescent="0.2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  <c r="AM868" s="62"/>
      <c r="AN868" s="62"/>
      <c r="AO868" s="62"/>
      <c r="AP868" s="62"/>
      <c r="AQ868" s="62"/>
    </row>
    <row r="869" spans="1:43" ht="12.75" customHeight="1" x14ac:dyDescent="0.2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  <c r="AM869" s="62"/>
      <c r="AN869" s="62"/>
      <c r="AO869" s="62"/>
      <c r="AP869" s="62"/>
      <c r="AQ869" s="62"/>
    </row>
    <row r="870" spans="1:43" ht="12.75" customHeight="1" x14ac:dyDescent="0.2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  <c r="AM870" s="62"/>
      <c r="AN870" s="62"/>
      <c r="AO870" s="62"/>
      <c r="AP870" s="62"/>
      <c r="AQ870" s="62"/>
    </row>
    <row r="871" spans="1:43" ht="12.75" customHeight="1" x14ac:dyDescent="0.2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  <c r="AM871" s="62"/>
      <c r="AN871" s="62"/>
      <c r="AO871" s="62"/>
      <c r="AP871" s="62"/>
      <c r="AQ871" s="62"/>
    </row>
    <row r="872" spans="1:43" ht="12.75" customHeight="1" x14ac:dyDescent="0.2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  <c r="AM872" s="62"/>
      <c r="AN872" s="62"/>
      <c r="AO872" s="62"/>
      <c r="AP872" s="62"/>
      <c r="AQ872" s="62"/>
    </row>
    <row r="873" spans="1:43" ht="12.75" customHeight="1" x14ac:dyDescent="0.2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  <c r="AM873" s="62"/>
      <c r="AN873" s="62"/>
      <c r="AO873" s="62"/>
      <c r="AP873" s="62"/>
      <c r="AQ873" s="62"/>
    </row>
    <row r="874" spans="1:43" ht="12.75" customHeight="1" x14ac:dyDescent="0.2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  <c r="AM874" s="62"/>
      <c r="AN874" s="62"/>
      <c r="AO874" s="62"/>
      <c r="AP874" s="62"/>
      <c r="AQ874" s="62"/>
    </row>
    <row r="875" spans="1:43" ht="12.75" customHeight="1" x14ac:dyDescent="0.2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  <c r="AM875" s="62"/>
      <c r="AN875" s="62"/>
      <c r="AO875" s="62"/>
      <c r="AP875" s="62"/>
      <c r="AQ875" s="62"/>
    </row>
    <row r="876" spans="1:43" ht="12.75" customHeight="1" x14ac:dyDescent="0.2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  <c r="AM876" s="62"/>
      <c r="AN876" s="62"/>
      <c r="AO876" s="62"/>
      <c r="AP876" s="62"/>
      <c r="AQ876" s="62"/>
    </row>
    <row r="877" spans="1:43" ht="12.75" customHeight="1" x14ac:dyDescent="0.2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  <c r="AO877" s="62"/>
      <c r="AP877" s="62"/>
      <c r="AQ877" s="62"/>
    </row>
    <row r="878" spans="1:43" ht="12.75" customHeight="1" x14ac:dyDescent="0.2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  <c r="AO878" s="62"/>
      <c r="AP878" s="62"/>
      <c r="AQ878" s="62"/>
    </row>
    <row r="879" spans="1:43" ht="12.75" customHeight="1" x14ac:dyDescent="0.2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  <c r="AM879" s="62"/>
      <c r="AN879" s="62"/>
      <c r="AO879" s="62"/>
      <c r="AP879" s="62"/>
      <c r="AQ879" s="62"/>
    </row>
    <row r="880" spans="1:43" ht="12.75" customHeight="1" x14ac:dyDescent="0.2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  <c r="AM880" s="62"/>
      <c r="AN880" s="62"/>
      <c r="AO880" s="62"/>
      <c r="AP880" s="62"/>
      <c r="AQ880" s="62"/>
    </row>
    <row r="881" spans="1:43" ht="12.75" customHeight="1" x14ac:dyDescent="0.2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  <c r="AM881" s="62"/>
      <c r="AN881" s="62"/>
      <c r="AO881" s="62"/>
      <c r="AP881" s="62"/>
      <c r="AQ881" s="62"/>
    </row>
    <row r="882" spans="1:43" ht="12.75" customHeight="1" x14ac:dyDescent="0.2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  <c r="AO882" s="62"/>
      <c r="AP882" s="62"/>
      <c r="AQ882" s="62"/>
    </row>
    <row r="883" spans="1:43" ht="12.75" customHeight="1" x14ac:dyDescent="0.2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  <c r="AM883" s="62"/>
      <c r="AN883" s="62"/>
      <c r="AO883" s="62"/>
      <c r="AP883" s="62"/>
      <c r="AQ883" s="62"/>
    </row>
    <row r="884" spans="1:43" ht="12.75" customHeight="1" x14ac:dyDescent="0.2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  <c r="AO884" s="62"/>
      <c r="AP884" s="62"/>
      <c r="AQ884" s="62"/>
    </row>
    <row r="885" spans="1:43" ht="12.75" customHeight="1" x14ac:dyDescent="0.2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  <c r="AM885" s="62"/>
      <c r="AN885" s="62"/>
      <c r="AO885" s="62"/>
      <c r="AP885" s="62"/>
      <c r="AQ885" s="62"/>
    </row>
    <row r="886" spans="1:43" ht="12.75" customHeight="1" x14ac:dyDescent="0.2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  <c r="AO886" s="62"/>
      <c r="AP886" s="62"/>
      <c r="AQ886" s="62"/>
    </row>
    <row r="887" spans="1:43" ht="12.75" customHeight="1" x14ac:dyDescent="0.2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/>
      <c r="AI887" s="62"/>
      <c r="AJ887" s="62"/>
      <c r="AK887" s="62"/>
      <c r="AL887" s="62"/>
      <c r="AM887" s="62"/>
      <c r="AN887" s="62"/>
      <c r="AO887" s="62"/>
      <c r="AP887" s="62"/>
      <c r="AQ887" s="62"/>
    </row>
    <row r="888" spans="1:43" ht="12.75" customHeight="1" x14ac:dyDescent="0.2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/>
      <c r="AI888" s="62"/>
      <c r="AJ888" s="62"/>
      <c r="AK888" s="62"/>
      <c r="AL888" s="62"/>
      <c r="AM888" s="62"/>
      <c r="AN888" s="62"/>
      <c r="AO888" s="62"/>
      <c r="AP888" s="62"/>
      <c r="AQ888" s="62"/>
    </row>
    <row r="889" spans="1:43" ht="12.75" customHeight="1" x14ac:dyDescent="0.2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  <c r="AM889" s="62"/>
      <c r="AN889" s="62"/>
      <c r="AO889" s="62"/>
      <c r="AP889" s="62"/>
      <c r="AQ889" s="62"/>
    </row>
    <row r="890" spans="1:43" ht="12.75" customHeight="1" x14ac:dyDescent="0.2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  <c r="AM890" s="62"/>
      <c r="AN890" s="62"/>
      <c r="AO890" s="62"/>
      <c r="AP890" s="62"/>
      <c r="AQ890" s="62"/>
    </row>
    <row r="891" spans="1:43" ht="12.75" customHeight="1" x14ac:dyDescent="0.2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  <c r="AO891" s="62"/>
      <c r="AP891" s="62"/>
      <c r="AQ891" s="62"/>
    </row>
    <row r="892" spans="1:43" ht="12.75" customHeight="1" x14ac:dyDescent="0.2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  <c r="AO892" s="62"/>
      <c r="AP892" s="62"/>
      <c r="AQ892" s="62"/>
    </row>
    <row r="893" spans="1:43" ht="12.75" customHeight="1" x14ac:dyDescent="0.2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  <c r="AM893" s="62"/>
      <c r="AN893" s="62"/>
      <c r="AO893" s="62"/>
      <c r="AP893" s="62"/>
      <c r="AQ893" s="62"/>
    </row>
    <row r="894" spans="1:43" ht="12.75" customHeight="1" x14ac:dyDescent="0.2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  <c r="AM894" s="62"/>
      <c r="AN894" s="62"/>
      <c r="AO894" s="62"/>
      <c r="AP894" s="62"/>
      <c r="AQ894" s="62"/>
    </row>
    <row r="895" spans="1:43" ht="12.75" customHeight="1" x14ac:dyDescent="0.2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  <c r="AM895" s="62"/>
      <c r="AN895" s="62"/>
      <c r="AO895" s="62"/>
      <c r="AP895" s="62"/>
      <c r="AQ895" s="62"/>
    </row>
    <row r="896" spans="1:43" ht="12.75" customHeight="1" x14ac:dyDescent="0.2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  <c r="AM896" s="62"/>
      <c r="AN896" s="62"/>
      <c r="AO896" s="62"/>
      <c r="AP896" s="62"/>
      <c r="AQ896" s="62"/>
    </row>
    <row r="897" spans="1:43" ht="12.75" customHeight="1" x14ac:dyDescent="0.2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  <c r="AO897" s="62"/>
      <c r="AP897" s="62"/>
      <c r="AQ897" s="62"/>
    </row>
    <row r="898" spans="1:43" ht="12.75" customHeight="1" x14ac:dyDescent="0.2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  <c r="AM898" s="62"/>
      <c r="AN898" s="62"/>
      <c r="AO898" s="62"/>
      <c r="AP898" s="62"/>
      <c r="AQ898" s="62"/>
    </row>
    <row r="899" spans="1:43" ht="12.75" customHeight="1" x14ac:dyDescent="0.2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/>
      <c r="AI899" s="62"/>
      <c r="AJ899" s="62"/>
      <c r="AK899" s="62"/>
      <c r="AL899" s="62"/>
      <c r="AM899" s="62"/>
      <c r="AN899" s="62"/>
      <c r="AO899" s="62"/>
      <c r="AP899" s="62"/>
      <c r="AQ899" s="62"/>
    </row>
    <row r="900" spans="1:43" ht="12.75" customHeight="1" x14ac:dyDescent="0.2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/>
      <c r="AI900" s="62"/>
      <c r="AJ900" s="62"/>
      <c r="AK900" s="62"/>
      <c r="AL900" s="62"/>
      <c r="AM900" s="62"/>
      <c r="AN900" s="62"/>
      <c r="AO900" s="62"/>
      <c r="AP900" s="62"/>
      <c r="AQ900" s="62"/>
    </row>
    <row r="901" spans="1:43" ht="12.75" customHeight="1" x14ac:dyDescent="0.2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/>
      <c r="AI901" s="62"/>
      <c r="AJ901" s="62"/>
      <c r="AK901" s="62"/>
      <c r="AL901" s="62"/>
      <c r="AM901" s="62"/>
      <c r="AN901" s="62"/>
      <c r="AO901" s="62"/>
      <c r="AP901" s="62"/>
      <c r="AQ901" s="62"/>
    </row>
    <row r="902" spans="1:43" ht="12.75" customHeight="1" x14ac:dyDescent="0.2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/>
      <c r="AI902" s="62"/>
      <c r="AJ902" s="62"/>
      <c r="AK902" s="62"/>
      <c r="AL902" s="62"/>
      <c r="AM902" s="62"/>
      <c r="AN902" s="62"/>
      <c r="AO902" s="62"/>
      <c r="AP902" s="62"/>
      <c r="AQ902" s="62"/>
    </row>
    <row r="903" spans="1:43" ht="12.75" customHeight="1" x14ac:dyDescent="0.2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  <c r="AM903" s="62"/>
      <c r="AN903" s="62"/>
      <c r="AO903" s="62"/>
      <c r="AP903" s="62"/>
      <c r="AQ903" s="62"/>
    </row>
    <row r="904" spans="1:43" ht="12.75" customHeight="1" x14ac:dyDescent="0.2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/>
      <c r="AI904" s="62"/>
      <c r="AJ904" s="62"/>
      <c r="AK904" s="62"/>
      <c r="AL904" s="62"/>
      <c r="AM904" s="62"/>
      <c r="AN904" s="62"/>
      <c r="AO904" s="62"/>
      <c r="AP904" s="62"/>
      <c r="AQ904" s="62"/>
    </row>
    <row r="905" spans="1:43" ht="12.75" customHeight="1" x14ac:dyDescent="0.2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/>
      <c r="AI905" s="62"/>
      <c r="AJ905" s="62"/>
      <c r="AK905" s="62"/>
      <c r="AL905" s="62"/>
      <c r="AM905" s="62"/>
      <c r="AN905" s="62"/>
      <c r="AO905" s="62"/>
      <c r="AP905" s="62"/>
      <c r="AQ905" s="62"/>
    </row>
    <row r="906" spans="1:43" ht="12.75" customHeight="1" x14ac:dyDescent="0.2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/>
      <c r="AI906" s="62"/>
      <c r="AJ906" s="62"/>
      <c r="AK906" s="62"/>
      <c r="AL906" s="62"/>
      <c r="AM906" s="62"/>
      <c r="AN906" s="62"/>
      <c r="AO906" s="62"/>
      <c r="AP906" s="62"/>
      <c r="AQ906" s="62"/>
    </row>
    <row r="907" spans="1:43" ht="12.75" customHeight="1" x14ac:dyDescent="0.2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  <c r="AM907" s="62"/>
      <c r="AN907" s="62"/>
      <c r="AO907" s="62"/>
      <c r="AP907" s="62"/>
      <c r="AQ907" s="62"/>
    </row>
    <row r="908" spans="1:43" ht="12.75" customHeight="1" x14ac:dyDescent="0.2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/>
      <c r="AI908" s="62"/>
      <c r="AJ908" s="62"/>
      <c r="AK908" s="62"/>
      <c r="AL908" s="62"/>
      <c r="AM908" s="62"/>
      <c r="AN908" s="62"/>
      <c r="AO908" s="62"/>
      <c r="AP908" s="62"/>
      <c r="AQ908" s="62"/>
    </row>
    <row r="909" spans="1:43" ht="12.75" customHeight="1" x14ac:dyDescent="0.2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2"/>
      <c r="AM909" s="62"/>
      <c r="AN909" s="62"/>
      <c r="AO909" s="62"/>
      <c r="AP909" s="62"/>
      <c r="AQ909" s="62"/>
    </row>
    <row r="910" spans="1:43" ht="12.75" customHeight="1" x14ac:dyDescent="0.2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/>
      <c r="AI910" s="62"/>
      <c r="AJ910" s="62"/>
      <c r="AK910" s="62"/>
      <c r="AL910" s="62"/>
      <c r="AM910" s="62"/>
      <c r="AN910" s="62"/>
      <c r="AO910" s="62"/>
      <c r="AP910" s="62"/>
      <c r="AQ910" s="62"/>
    </row>
    <row r="911" spans="1:43" ht="12.75" customHeight="1" x14ac:dyDescent="0.2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/>
      <c r="AI911" s="62"/>
      <c r="AJ911" s="62"/>
      <c r="AK911" s="62"/>
      <c r="AL911" s="62"/>
      <c r="AM911" s="62"/>
      <c r="AN911" s="62"/>
      <c r="AO911" s="62"/>
      <c r="AP911" s="62"/>
      <c r="AQ911" s="62"/>
    </row>
    <row r="912" spans="1:43" ht="12.75" customHeight="1" x14ac:dyDescent="0.2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/>
      <c r="AI912" s="62"/>
      <c r="AJ912" s="62"/>
      <c r="AK912" s="62"/>
      <c r="AL912" s="62"/>
      <c r="AM912" s="62"/>
      <c r="AN912" s="62"/>
      <c r="AO912" s="62"/>
      <c r="AP912" s="62"/>
      <c r="AQ912" s="62"/>
    </row>
    <row r="913" spans="1:43" ht="12.75" customHeight="1" x14ac:dyDescent="0.2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  <c r="AG913" s="62"/>
      <c r="AH913" s="62"/>
      <c r="AI913" s="62"/>
      <c r="AJ913" s="62"/>
      <c r="AK913" s="62"/>
      <c r="AL913" s="62"/>
      <c r="AM913" s="62"/>
      <c r="AN913" s="62"/>
      <c r="AO913" s="62"/>
      <c r="AP913" s="62"/>
      <c r="AQ913" s="62"/>
    </row>
    <row r="914" spans="1:43" ht="12.75" customHeight="1" x14ac:dyDescent="0.2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/>
      <c r="AI914" s="62"/>
      <c r="AJ914" s="62"/>
      <c r="AK914" s="62"/>
      <c r="AL914" s="62"/>
      <c r="AM914" s="62"/>
      <c r="AN914" s="62"/>
      <c r="AO914" s="62"/>
      <c r="AP914" s="62"/>
      <c r="AQ914" s="62"/>
    </row>
    <row r="915" spans="1:43" ht="12.75" customHeight="1" x14ac:dyDescent="0.2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/>
      <c r="AI915" s="62"/>
      <c r="AJ915" s="62"/>
      <c r="AK915" s="62"/>
      <c r="AL915" s="62"/>
      <c r="AM915" s="62"/>
      <c r="AN915" s="62"/>
      <c r="AO915" s="62"/>
      <c r="AP915" s="62"/>
      <c r="AQ915" s="62"/>
    </row>
    <row r="916" spans="1:43" ht="12.75" customHeight="1" x14ac:dyDescent="0.2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/>
      <c r="AI916" s="62"/>
      <c r="AJ916" s="62"/>
      <c r="AK916" s="62"/>
      <c r="AL916" s="62"/>
      <c r="AM916" s="62"/>
      <c r="AN916" s="62"/>
      <c r="AO916" s="62"/>
      <c r="AP916" s="62"/>
      <c r="AQ916" s="62"/>
    </row>
    <row r="917" spans="1:43" ht="12.75" customHeight="1" x14ac:dyDescent="0.2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  <c r="AM917" s="62"/>
      <c r="AN917" s="62"/>
      <c r="AO917" s="62"/>
      <c r="AP917" s="62"/>
      <c r="AQ917" s="62"/>
    </row>
    <row r="918" spans="1:43" ht="12.75" customHeight="1" x14ac:dyDescent="0.2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  <c r="AM918" s="62"/>
      <c r="AN918" s="62"/>
      <c r="AO918" s="62"/>
      <c r="AP918" s="62"/>
      <c r="AQ918" s="62"/>
    </row>
    <row r="919" spans="1:43" ht="12.75" customHeight="1" x14ac:dyDescent="0.2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/>
      <c r="AI919" s="62"/>
      <c r="AJ919" s="62"/>
      <c r="AK919" s="62"/>
      <c r="AL919" s="62"/>
      <c r="AM919" s="62"/>
      <c r="AN919" s="62"/>
      <c r="AO919" s="62"/>
      <c r="AP919" s="62"/>
      <c r="AQ919" s="62"/>
    </row>
    <row r="920" spans="1:43" ht="12.75" customHeight="1" x14ac:dyDescent="0.2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  <c r="AP920" s="62"/>
      <c r="AQ920" s="62"/>
    </row>
    <row r="921" spans="1:43" ht="12.75" customHeight="1" x14ac:dyDescent="0.2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/>
      <c r="AI921" s="62"/>
      <c r="AJ921" s="62"/>
      <c r="AK921" s="62"/>
      <c r="AL921" s="62"/>
      <c r="AM921" s="62"/>
      <c r="AN921" s="62"/>
      <c r="AO921" s="62"/>
      <c r="AP921" s="62"/>
      <c r="AQ921" s="62"/>
    </row>
    <row r="922" spans="1:43" ht="12.75" customHeight="1" x14ac:dyDescent="0.2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/>
      <c r="AI922" s="62"/>
      <c r="AJ922" s="62"/>
      <c r="AK922" s="62"/>
      <c r="AL922" s="62"/>
      <c r="AM922" s="62"/>
      <c r="AN922" s="62"/>
      <c r="AO922" s="62"/>
      <c r="AP922" s="62"/>
      <c r="AQ922" s="62"/>
    </row>
    <row r="923" spans="1:43" ht="12.75" customHeight="1" x14ac:dyDescent="0.2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/>
      <c r="AI923" s="62"/>
      <c r="AJ923" s="62"/>
      <c r="AK923" s="62"/>
      <c r="AL923" s="62"/>
      <c r="AM923" s="62"/>
      <c r="AN923" s="62"/>
      <c r="AO923" s="62"/>
      <c r="AP923" s="62"/>
      <c r="AQ923" s="62"/>
    </row>
    <row r="924" spans="1:43" ht="12.75" customHeight="1" x14ac:dyDescent="0.2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/>
      <c r="AI924" s="62"/>
      <c r="AJ924" s="62"/>
      <c r="AK924" s="62"/>
      <c r="AL924" s="62"/>
      <c r="AM924" s="62"/>
      <c r="AN924" s="62"/>
      <c r="AO924" s="62"/>
      <c r="AP924" s="62"/>
      <c r="AQ924" s="62"/>
    </row>
    <row r="925" spans="1:43" ht="12.75" customHeight="1" x14ac:dyDescent="0.2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/>
      <c r="AI925" s="62"/>
      <c r="AJ925" s="62"/>
      <c r="AK925" s="62"/>
      <c r="AL925" s="62"/>
      <c r="AM925" s="62"/>
      <c r="AN925" s="62"/>
      <c r="AO925" s="62"/>
      <c r="AP925" s="62"/>
      <c r="AQ925" s="62"/>
    </row>
    <row r="926" spans="1:43" ht="12.75" customHeight="1" x14ac:dyDescent="0.2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/>
      <c r="AI926" s="62"/>
      <c r="AJ926" s="62"/>
      <c r="AK926" s="62"/>
      <c r="AL926" s="62"/>
      <c r="AM926" s="62"/>
      <c r="AN926" s="62"/>
      <c r="AO926" s="62"/>
      <c r="AP926" s="62"/>
      <c r="AQ926" s="62"/>
    </row>
    <row r="927" spans="1:43" ht="12.75" customHeight="1" x14ac:dyDescent="0.2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/>
      <c r="AI927" s="62"/>
      <c r="AJ927" s="62"/>
      <c r="AK927" s="62"/>
      <c r="AL927" s="62"/>
      <c r="AM927" s="62"/>
      <c r="AN927" s="62"/>
      <c r="AO927" s="62"/>
      <c r="AP927" s="62"/>
      <c r="AQ927" s="62"/>
    </row>
    <row r="928" spans="1:43" ht="12.75" customHeight="1" x14ac:dyDescent="0.2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  <c r="AM928" s="62"/>
      <c r="AN928" s="62"/>
      <c r="AO928" s="62"/>
      <c r="AP928" s="62"/>
      <c r="AQ928" s="62"/>
    </row>
    <row r="929" spans="1:43" ht="12.75" customHeight="1" x14ac:dyDescent="0.2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  <c r="AM929" s="62"/>
      <c r="AN929" s="62"/>
      <c r="AO929" s="62"/>
      <c r="AP929" s="62"/>
      <c r="AQ929" s="62"/>
    </row>
    <row r="930" spans="1:43" ht="12.75" customHeight="1" x14ac:dyDescent="0.2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/>
      <c r="AI930" s="62"/>
      <c r="AJ930" s="62"/>
      <c r="AK930" s="62"/>
      <c r="AL930" s="62"/>
      <c r="AM930" s="62"/>
      <c r="AN930" s="62"/>
      <c r="AO930" s="62"/>
      <c r="AP930" s="62"/>
      <c r="AQ930" s="62"/>
    </row>
    <row r="931" spans="1:43" ht="12.75" customHeight="1" x14ac:dyDescent="0.2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/>
      <c r="AI931" s="62"/>
      <c r="AJ931" s="62"/>
      <c r="AK931" s="62"/>
      <c r="AL931" s="62"/>
      <c r="AM931" s="62"/>
      <c r="AN931" s="62"/>
      <c r="AO931" s="62"/>
      <c r="AP931" s="62"/>
      <c r="AQ931" s="62"/>
    </row>
    <row r="932" spans="1:43" ht="12.75" customHeight="1" x14ac:dyDescent="0.2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/>
      <c r="AI932" s="62"/>
      <c r="AJ932" s="62"/>
      <c r="AK932" s="62"/>
      <c r="AL932" s="62"/>
      <c r="AM932" s="62"/>
      <c r="AN932" s="62"/>
      <c r="AO932" s="62"/>
      <c r="AP932" s="62"/>
      <c r="AQ932" s="62"/>
    </row>
    <row r="933" spans="1:43" ht="12.75" customHeight="1" x14ac:dyDescent="0.2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/>
      <c r="AI933" s="62"/>
      <c r="AJ933" s="62"/>
      <c r="AK933" s="62"/>
      <c r="AL933" s="62"/>
      <c r="AM933" s="62"/>
      <c r="AN933" s="62"/>
      <c r="AO933" s="62"/>
      <c r="AP933" s="62"/>
      <c r="AQ933" s="62"/>
    </row>
    <row r="934" spans="1:43" ht="12.75" customHeight="1" x14ac:dyDescent="0.2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/>
      <c r="AI934" s="62"/>
      <c r="AJ934" s="62"/>
      <c r="AK934" s="62"/>
      <c r="AL934" s="62"/>
      <c r="AM934" s="62"/>
      <c r="AN934" s="62"/>
      <c r="AO934" s="62"/>
      <c r="AP934" s="62"/>
      <c r="AQ934" s="62"/>
    </row>
    <row r="935" spans="1:43" ht="12.75" customHeight="1" x14ac:dyDescent="0.2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  <c r="AM935" s="62"/>
      <c r="AN935" s="62"/>
      <c r="AO935" s="62"/>
      <c r="AP935" s="62"/>
      <c r="AQ935" s="62"/>
    </row>
    <row r="936" spans="1:43" ht="12.75" customHeight="1" x14ac:dyDescent="0.2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  <c r="AM936" s="62"/>
      <c r="AN936" s="62"/>
      <c r="AO936" s="62"/>
      <c r="AP936" s="62"/>
      <c r="AQ936" s="62"/>
    </row>
    <row r="937" spans="1:43" ht="12.75" customHeight="1" x14ac:dyDescent="0.2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/>
      <c r="AI937" s="62"/>
      <c r="AJ937" s="62"/>
      <c r="AK937" s="62"/>
      <c r="AL937" s="62"/>
      <c r="AM937" s="62"/>
      <c r="AN937" s="62"/>
      <c r="AO937" s="62"/>
      <c r="AP937" s="62"/>
      <c r="AQ937" s="62"/>
    </row>
    <row r="938" spans="1:43" ht="12.75" customHeight="1" x14ac:dyDescent="0.2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/>
      <c r="AI938" s="62"/>
      <c r="AJ938" s="62"/>
      <c r="AK938" s="62"/>
      <c r="AL938" s="62"/>
      <c r="AM938" s="62"/>
      <c r="AN938" s="62"/>
      <c r="AO938" s="62"/>
      <c r="AP938" s="62"/>
      <c r="AQ938" s="62"/>
    </row>
    <row r="939" spans="1:43" ht="12.75" customHeight="1" x14ac:dyDescent="0.2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/>
      <c r="AI939" s="62"/>
      <c r="AJ939" s="62"/>
      <c r="AK939" s="62"/>
      <c r="AL939" s="62"/>
      <c r="AM939" s="62"/>
      <c r="AN939" s="62"/>
      <c r="AO939" s="62"/>
      <c r="AP939" s="62"/>
      <c r="AQ939" s="62"/>
    </row>
    <row r="940" spans="1:43" ht="12.75" customHeight="1" x14ac:dyDescent="0.2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  <c r="AM940" s="62"/>
      <c r="AN940" s="62"/>
      <c r="AO940" s="62"/>
      <c r="AP940" s="62"/>
      <c r="AQ940" s="62"/>
    </row>
    <row r="941" spans="1:43" ht="12.75" customHeight="1" x14ac:dyDescent="0.2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  <c r="AM941" s="62"/>
      <c r="AN941" s="62"/>
      <c r="AO941" s="62"/>
      <c r="AP941" s="62"/>
      <c r="AQ941" s="62"/>
    </row>
    <row r="942" spans="1:43" ht="12.75" customHeight="1" x14ac:dyDescent="0.2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  <c r="AM942" s="62"/>
      <c r="AN942" s="62"/>
      <c r="AO942" s="62"/>
      <c r="AP942" s="62"/>
      <c r="AQ942" s="62"/>
    </row>
    <row r="943" spans="1:43" ht="12.75" customHeight="1" x14ac:dyDescent="0.2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/>
      <c r="AI943" s="62"/>
      <c r="AJ943" s="62"/>
      <c r="AK943" s="62"/>
      <c r="AL943" s="62"/>
      <c r="AM943" s="62"/>
      <c r="AN943" s="62"/>
      <c r="AO943" s="62"/>
      <c r="AP943" s="62"/>
      <c r="AQ943" s="62"/>
    </row>
    <row r="944" spans="1:43" ht="12.75" customHeight="1" x14ac:dyDescent="0.2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  <c r="AM944" s="62"/>
      <c r="AN944" s="62"/>
      <c r="AO944" s="62"/>
      <c r="AP944" s="62"/>
      <c r="AQ944" s="62"/>
    </row>
    <row r="945" spans="1:43" ht="12.75" customHeight="1" x14ac:dyDescent="0.2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/>
      <c r="AI945" s="62"/>
      <c r="AJ945" s="62"/>
      <c r="AK945" s="62"/>
      <c r="AL945" s="62"/>
      <c r="AM945" s="62"/>
      <c r="AN945" s="62"/>
      <c r="AO945" s="62"/>
      <c r="AP945" s="62"/>
      <c r="AQ945" s="62"/>
    </row>
    <row r="946" spans="1:43" ht="12.75" customHeight="1" x14ac:dyDescent="0.2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/>
      <c r="AI946" s="62"/>
      <c r="AJ946" s="62"/>
      <c r="AK946" s="62"/>
      <c r="AL946" s="62"/>
      <c r="AM946" s="62"/>
      <c r="AN946" s="62"/>
      <c r="AO946" s="62"/>
      <c r="AP946" s="62"/>
      <c r="AQ946" s="62"/>
    </row>
    <row r="947" spans="1:43" ht="12.75" customHeight="1" x14ac:dyDescent="0.2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/>
      <c r="AI947" s="62"/>
      <c r="AJ947" s="62"/>
      <c r="AK947" s="62"/>
      <c r="AL947" s="62"/>
      <c r="AM947" s="62"/>
      <c r="AN947" s="62"/>
      <c r="AO947" s="62"/>
      <c r="AP947" s="62"/>
      <c r="AQ947" s="62"/>
    </row>
    <row r="948" spans="1:43" ht="12.75" customHeight="1" x14ac:dyDescent="0.2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/>
      <c r="AI948" s="62"/>
      <c r="AJ948" s="62"/>
      <c r="AK948" s="62"/>
      <c r="AL948" s="62"/>
      <c r="AM948" s="62"/>
      <c r="AN948" s="62"/>
      <c r="AO948" s="62"/>
      <c r="AP948" s="62"/>
      <c r="AQ948" s="62"/>
    </row>
    <row r="949" spans="1:43" ht="12.75" customHeight="1" x14ac:dyDescent="0.2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  <c r="AM949" s="62"/>
      <c r="AN949" s="62"/>
      <c r="AO949" s="62"/>
      <c r="AP949" s="62"/>
      <c r="AQ949" s="62"/>
    </row>
    <row r="950" spans="1:43" ht="12.75" customHeight="1" x14ac:dyDescent="0.2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  <c r="AM950" s="62"/>
      <c r="AN950" s="62"/>
      <c r="AO950" s="62"/>
      <c r="AP950" s="62"/>
      <c r="AQ950" s="62"/>
    </row>
    <row r="951" spans="1:43" ht="12.75" customHeight="1" x14ac:dyDescent="0.2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/>
      <c r="AI951" s="62"/>
      <c r="AJ951" s="62"/>
      <c r="AK951" s="62"/>
      <c r="AL951" s="62"/>
      <c r="AM951" s="62"/>
      <c r="AN951" s="62"/>
      <c r="AO951" s="62"/>
      <c r="AP951" s="62"/>
      <c r="AQ951" s="62"/>
    </row>
    <row r="952" spans="1:43" ht="12.75" customHeight="1" x14ac:dyDescent="0.2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  <c r="AM952" s="62"/>
      <c r="AN952" s="62"/>
      <c r="AO952" s="62"/>
      <c r="AP952" s="62"/>
      <c r="AQ952" s="62"/>
    </row>
    <row r="953" spans="1:43" ht="12.75" customHeight="1" x14ac:dyDescent="0.2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/>
      <c r="AI953" s="62"/>
      <c r="AJ953" s="62"/>
      <c r="AK953" s="62"/>
      <c r="AL953" s="62"/>
      <c r="AM953" s="62"/>
      <c r="AN953" s="62"/>
      <c r="AO953" s="62"/>
      <c r="AP953" s="62"/>
      <c r="AQ953" s="62"/>
    </row>
    <row r="954" spans="1:43" ht="12.75" customHeight="1" x14ac:dyDescent="0.2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/>
      <c r="AI954" s="62"/>
      <c r="AJ954" s="62"/>
      <c r="AK954" s="62"/>
      <c r="AL954" s="62"/>
      <c r="AM954" s="62"/>
      <c r="AN954" s="62"/>
      <c r="AO954" s="62"/>
      <c r="AP954" s="62"/>
      <c r="AQ954" s="62"/>
    </row>
    <row r="955" spans="1:43" ht="12.75" customHeight="1" x14ac:dyDescent="0.2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/>
      <c r="AI955" s="62"/>
      <c r="AJ955" s="62"/>
      <c r="AK955" s="62"/>
      <c r="AL955" s="62"/>
      <c r="AM955" s="62"/>
      <c r="AN955" s="62"/>
      <c r="AO955" s="62"/>
      <c r="AP955" s="62"/>
      <c r="AQ955" s="62"/>
    </row>
    <row r="956" spans="1:43" ht="12.75" customHeight="1" x14ac:dyDescent="0.2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  <c r="AM956" s="62"/>
      <c r="AN956" s="62"/>
      <c r="AO956" s="62"/>
      <c r="AP956" s="62"/>
      <c r="AQ956" s="62"/>
    </row>
    <row r="957" spans="1:43" ht="12.75" customHeight="1" x14ac:dyDescent="0.2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  <c r="AM957" s="62"/>
      <c r="AN957" s="62"/>
      <c r="AO957" s="62"/>
      <c r="AP957" s="62"/>
      <c r="AQ957" s="62"/>
    </row>
    <row r="958" spans="1:43" ht="12.75" customHeight="1" x14ac:dyDescent="0.2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  <c r="AM958" s="62"/>
      <c r="AN958" s="62"/>
      <c r="AO958" s="62"/>
      <c r="AP958" s="62"/>
      <c r="AQ958" s="62"/>
    </row>
    <row r="959" spans="1:43" ht="12.75" customHeight="1" x14ac:dyDescent="0.2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  <c r="AM959" s="62"/>
      <c r="AN959" s="62"/>
      <c r="AO959" s="62"/>
      <c r="AP959" s="62"/>
      <c r="AQ959" s="62"/>
    </row>
    <row r="960" spans="1:43" ht="12.75" customHeight="1" x14ac:dyDescent="0.2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/>
      <c r="AI960" s="62"/>
      <c r="AJ960" s="62"/>
      <c r="AK960" s="62"/>
      <c r="AL960" s="62"/>
      <c r="AM960" s="62"/>
      <c r="AN960" s="62"/>
      <c r="AO960" s="62"/>
      <c r="AP960" s="62"/>
      <c r="AQ960" s="62"/>
    </row>
    <row r="961" spans="1:43" ht="12.75" customHeight="1" x14ac:dyDescent="0.2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  <c r="AM961" s="62"/>
      <c r="AN961" s="62"/>
      <c r="AO961" s="62"/>
      <c r="AP961" s="62"/>
      <c r="AQ961" s="62"/>
    </row>
    <row r="962" spans="1:43" ht="12.75" customHeight="1" x14ac:dyDescent="0.2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  <c r="AM962" s="62"/>
      <c r="AN962" s="62"/>
      <c r="AO962" s="62"/>
      <c r="AP962" s="62"/>
      <c r="AQ962" s="62"/>
    </row>
    <row r="963" spans="1:43" ht="12.75" customHeight="1" x14ac:dyDescent="0.2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  <c r="AM963" s="62"/>
      <c r="AN963" s="62"/>
      <c r="AO963" s="62"/>
      <c r="AP963" s="62"/>
      <c r="AQ963" s="62"/>
    </row>
    <row r="964" spans="1:43" ht="12.75" customHeight="1" x14ac:dyDescent="0.2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  <c r="AM964" s="62"/>
      <c r="AN964" s="62"/>
      <c r="AO964" s="62"/>
      <c r="AP964" s="62"/>
      <c r="AQ964" s="62"/>
    </row>
    <row r="965" spans="1:43" ht="12.75" customHeight="1" x14ac:dyDescent="0.2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  <c r="AM965" s="62"/>
      <c r="AN965" s="62"/>
      <c r="AO965" s="62"/>
      <c r="AP965" s="62"/>
      <c r="AQ965" s="62"/>
    </row>
    <row r="966" spans="1:43" ht="12.75" customHeight="1" x14ac:dyDescent="0.2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/>
      <c r="AI966" s="62"/>
      <c r="AJ966" s="62"/>
      <c r="AK966" s="62"/>
      <c r="AL966" s="62"/>
      <c r="AM966" s="62"/>
      <c r="AN966" s="62"/>
      <c r="AO966" s="62"/>
      <c r="AP966" s="62"/>
      <c r="AQ966" s="62"/>
    </row>
    <row r="967" spans="1:43" ht="12.75" customHeight="1" x14ac:dyDescent="0.2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/>
      <c r="AI967" s="62"/>
      <c r="AJ967" s="62"/>
      <c r="AK967" s="62"/>
      <c r="AL967" s="62"/>
      <c r="AM967" s="62"/>
      <c r="AN967" s="62"/>
      <c r="AO967" s="62"/>
      <c r="AP967" s="62"/>
      <c r="AQ967" s="62"/>
    </row>
    <row r="968" spans="1:43" ht="12.75" customHeight="1" x14ac:dyDescent="0.2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/>
      <c r="AI968" s="62"/>
      <c r="AJ968" s="62"/>
      <c r="AK968" s="62"/>
      <c r="AL968" s="62"/>
      <c r="AM968" s="62"/>
      <c r="AN968" s="62"/>
      <c r="AO968" s="62"/>
      <c r="AP968" s="62"/>
      <c r="AQ968" s="62"/>
    </row>
    <row r="969" spans="1:43" ht="12.75" customHeight="1" x14ac:dyDescent="0.2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/>
      <c r="AH969" s="62"/>
      <c r="AI969" s="62"/>
      <c r="AJ969" s="62"/>
      <c r="AK969" s="62"/>
      <c r="AL969" s="62"/>
      <c r="AM969" s="62"/>
      <c r="AN969" s="62"/>
      <c r="AO969" s="62"/>
      <c r="AP969" s="62"/>
      <c r="AQ969" s="62"/>
    </row>
    <row r="970" spans="1:43" ht="12.75" customHeight="1" x14ac:dyDescent="0.2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  <c r="AM970" s="62"/>
      <c r="AN970" s="62"/>
      <c r="AO970" s="62"/>
      <c r="AP970" s="62"/>
      <c r="AQ970" s="62"/>
    </row>
    <row r="971" spans="1:43" ht="12.75" customHeight="1" x14ac:dyDescent="0.2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  <c r="AM971" s="62"/>
      <c r="AN971" s="62"/>
      <c r="AO971" s="62"/>
      <c r="AP971" s="62"/>
      <c r="AQ971" s="62"/>
    </row>
    <row r="972" spans="1:43" ht="12.75" customHeight="1" x14ac:dyDescent="0.2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/>
      <c r="AI972" s="62"/>
      <c r="AJ972" s="62"/>
      <c r="AK972" s="62"/>
      <c r="AL972" s="62"/>
      <c r="AM972" s="62"/>
      <c r="AN972" s="62"/>
      <c r="AO972" s="62"/>
      <c r="AP972" s="62"/>
      <c r="AQ972" s="62"/>
    </row>
    <row r="973" spans="1:43" ht="12.75" customHeight="1" x14ac:dyDescent="0.2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  <c r="AO973" s="62"/>
      <c r="AP973" s="62"/>
      <c r="AQ973" s="62"/>
    </row>
    <row r="974" spans="1:43" ht="12.75" customHeight="1" x14ac:dyDescent="0.2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/>
      <c r="AI974" s="62"/>
      <c r="AJ974" s="62"/>
      <c r="AK974" s="62"/>
      <c r="AL974" s="62"/>
      <c r="AM974" s="62"/>
      <c r="AN974" s="62"/>
      <c r="AO974" s="62"/>
      <c r="AP974" s="62"/>
      <c r="AQ974" s="62"/>
    </row>
    <row r="975" spans="1:43" ht="12.75" customHeight="1" x14ac:dyDescent="0.2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  <c r="AM975" s="62"/>
      <c r="AN975" s="62"/>
      <c r="AO975" s="62"/>
      <c r="AP975" s="62"/>
      <c r="AQ975" s="62"/>
    </row>
    <row r="976" spans="1:43" ht="12.75" customHeight="1" x14ac:dyDescent="0.2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  <c r="AM976" s="62"/>
      <c r="AN976" s="62"/>
      <c r="AO976" s="62"/>
      <c r="AP976" s="62"/>
      <c r="AQ976" s="62"/>
    </row>
    <row r="977" spans="1:43" ht="12.75" customHeight="1" x14ac:dyDescent="0.2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  <c r="AM977" s="62"/>
      <c r="AN977" s="62"/>
      <c r="AO977" s="62"/>
      <c r="AP977" s="62"/>
      <c r="AQ977" s="62"/>
    </row>
    <row r="978" spans="1:43" ht="12.75" customHeight="1" x14ac:dyDescent="0.2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/>
      <c r="AI978" s="62"/>
      <c r="AJ978" s="62"/>
      <c r="AK978" s="62"/>
      <c r="AL978" s="62"/>
      <c r="AM978" s="62"/>
      <c r="AN978" s="62"/>
      <c r="AO978" s="62"/>
      <c r="AP978" s="62"/>
      <c r="AQ978" s="62"/>
    </row>
    <row r="979" spans="1:43" ht="12.75" customHeight="1" x14ac:dyDescent="0.2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  <c r="AM979" s="62"/>
      <c r="AN979" s="62"/>
      <c r="AO979" s="62"/>
      <c r="AP979" s="62"/>
      <c r="AQ979" s="62"/>
    </row>
    <row r="980" spans="1:43" ht="12.75" customHeight="1" x14ac:dyDescent="0.2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  <c r="AM980" s="62"/>
      <c r="AN980" s="62"/>
      <c r="AO980" s="62"/>
      <c r="AP980" s="62"/>
      <c r="AQ980" s="62"/>
    </row>
    <row r="981" spans="1:43" ht="12.75" customHeight="1" x14ac:dyDescent="0.2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  <c r="AO981" s="62"/>
      <c r="AP981" s="62"/>
      <c r="AQ981" s="62"/>
    </row>
    <row r="982" spans="1:43" ht="12.75" customHeight="1" x14ac:dyDescent="0.2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  <c r="AM982" s="62"/>
      <c r="AN982" s="62"/>
      <c r="AO982" s="62"/>
      <c r="AP982" s="62"/>
      <c r="AQ982" s="62"/>
    </row>
    <row r="983" spans="1:43" ht="12.75" customHeight="1" x14ac:dyDescent="0.2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/>
      <c r="AI983" s="62"/>
      <c r="AJ983" s="62"/>
      <c r="AK983" s="62"/>
      <c r="AL983" s="62"/>
      <c r="AM983" s="62"/>
      <c r="AN983" s="62"/>
      <c r="AO983" s="62"/>
      <c r="AP983" s="62"/>
      <c r="AQ983" s="62"/>
    </row>
    <row r="984" spans="1:43" ht="12.75" customHeight="1" x14ac:dyDescent="0.2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  <c r="AO984" s="62"/>
      <c r="AP984" s="62"/>
      <c r="AQ984" s="62"/>
    </row>
    <row r="985" spans="1:43" ht="12.75" customHeight="1" x14ac:dyDescent="0.2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  <c r="AM985" s="62"/>
      <c r="AN985" s="62"/>
      <c r="AO985" s="62"/>
      <c r="AP985" s="62"/>
      <c r="AQ985" s="62"/>
    </row>
    <row r="986" spans="1:43" ht="12.75" customHeight="1" x14ac:dyDescent="0.2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/>
      <c r="AI986" s="62"/>
      <c r="AJ986" s="62"/>
      <c r="AK986" s="62"/>
      <c r="AL986" s="62"/>
      <c r="AM986" s="62"/>
      <c r="AN986" s="62"/>
      <c r="AO986" s="62"/>
      <c r="AP986" s="62"/>
      <c r="AQ986" s="62"/>
    </row>
    <row r="987" spans="1:43" ht="12.75" customHeight="1" x14ac:dyDescent="0.2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  <c r="AM987" s="62"/>
      <c r="AN987" s="62"/>
      <c r="AO987" s="62"/>
      <c r="AP987" s="62"/>
      <c r="AQ987" s="62"/>
    </row>
    <row r="988" spans="1:43" ht="12.75" customHeight="1" x14ac:dyDescent="0.2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  <c r="AM988" s="62"/>
      <c r="AN988" s="62"/>
      <c r="AO988" s="62"/>
      <c r="AP988" s="62"/>
      <c r="AQ988" s="62"/>
    </row>
    <row r="989" spans="1:43" ht="12.75" customHeight="1" x14ac:dyDescent="0.2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  <c r="AM989" s="62"/>
      <c r="AN989" s="62"/>
      <c r="AO989" s="62"/>
      <c r="AP989" s="62"/>
      <c r="AQ989" s="62"/>
    </row>
    <row r="990" spans="1:43" ht="12.75" customHeight="1" x14ac:dyDescent="0.2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/>
      <c r="AI990" s="62"/>
      <c r="AJ990" s="62"/>
      <c r="AK990" s="62"/>
      <c r="AL990" s="62"/>
      <c r="AM990" s="62"/>
      <c r="AN990" s="62"/>
      <c r="AO990" s="62"/>
      <c r="AP990" s="62"/>
      <c r="AQ990" s="62"/>
    </row>
    <row r="991" spans="1:43" ht="12.75" customHeight="1" x14ac:dyDescent="0.2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/>
      <c r="AI991" s="62"/>
      <c r="AJ991" s="62"/>
      <c r="AK991" s="62"/>
      <c r="AL991" s="62"/>
      <c r="AM991" s="62"/>
      <c r="AN991" s="62"/>
      <c r="AO991" s="62"/>
      <c r="AP991" s="62"/>
      <c r="AQ991" s="62"/>
    </row>
    <row r="992" spans="1:43" ht="12.75" customHeight="1" x14ac:dyDescent="0.2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  <c r="AG992" s="62"/>
      <c r="AH992" s="62"/>
      <c r="AI992" s="62"/>
      <c r="AJ992" s="62"/>
      <c r="AK992" s="62"/>
      <c r="AL992" s="62"/>
      <c r="AM992" s="62"/>
      <c r="AN992" s="62"/>
      <c r="AO992" s="62"/>
      <c r="AP992" s="62"/>
      <c r="AQ992" s="62"/>
    </row>
    <row r="993" spans="1:43" ht="12.75" customHeight="1" x14ac:dyDescent="0.2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/>
      <c r="AI993" s="62"/>
      <c r="AJ993" s="62"/>
      <c r="AK993" s="62"/>
      <c r="AL993" s="62"/>
      <c r="AM993" s="62"/>
      <c r="AN993" s="62"/>
      <c r="AO993" s="62"/>
      <c r="AP993" s="62"/>
      <c r="AQ993" s="62"/>
    </row>
    <row r="994" spans="1:43" ht="12.75" customHeight="1" x14ac:dyDescent="0.2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  <c r="AM994" s="62"/>
      <c r="AN994" s="62"/>
      <c r="AO994" s="62"/>
      <c r="AP994" s="62"/>
      <c r="AQ994" s="62"/>
    </row>
    <row r="995" spans="1:43" ht="12.75" customHeight="1" x14ac:dyDescent="0.2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/>
      <c r="AI995" s="62"/>
      <c r="AJ995" s="62"/>
      <c r="AK995" s="62"/>
      <c r="AL995" s="62"/>
      <c r="AM995" s="62"/>
      <c r="AN995" s="62"/>
      <c r="AO995" s="62"/>
      <c r="AP995" s="62"/>
      <c r="AQ995" s="62"/>
    </row>
    <row r="996" spans="1:43" ht="12.75" customHeight="1" x14ac:dyDescent="0.2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/>
      <c r="AI996" s="62"/>
      <c r="AJ996" s="62"/>
      <c r="AK996" s="62"/>
      <c r="AL996" s="62"/>
      <c r="AM996" s="62"/>
      <c r="AN996" s="62"/>
      <c r="AO996" s="62"/>
      <c r="AP996" s="62"/>
      <c r="AQ996" s="62"/>
    </row>
    <row r="997" spans="1:43" ht="12.75" customHeight="1" x14ac:dyDescent="0.2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/>
      <c r="AI997" s="62"/>
      <c r="AJ997" s="62"/>
      <c r="AK997" s="62"/>
      <c r="AL997" s="62"/>
      <c r="AM997" s="62"/>
      <c r="AN997" s="62"/>
      <c r="AO997" s="62"/>
      <c r="AP997" s="62"/>
      <c r="AQ997" s="62"/>
    </row>
    <row r="998" spans="1:43" ht="12.75" customHeight="1" x14ac:dyDescent="0.2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  <c r="AG998" s="62"/>
      <c r="AH998" s="62"/>
      <c r="AI998" s="62"/>
      <c r="AJ998" s="62"/>
      <c r="AK998" s="62"/>
      <c r="AL998" s="62"/>
      <c r="AM998" s="62"/>
      <c r="AN998" s="62"/>
      <c r="AO998" s="62"/>
      <c r="AP998" s="62"/>
      <c r="AQ998" s="62"/>
    </row>
    <row r="999" spans="1:43" ht="12.75" customHeight="1" x14ac:dyDescent="0.2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  <c r="AG999" s="62"/>
      <c r="AH999" s="62"/>
      <c r="AI999" s="62"/>
      <c r="AJ999" s="62"/>
      <c r="AK999" s="62"/>
      <c r="AL999" s="62"/>
      <c r="AM999" s="62"/>
      <c r="AN999" s="62"/>
      <c r="AO999" s="62"/>
      <c r="AP999" s="62"/>
      <c r="AQ999" s="62"/>
    </row>
    <row r="1000" spans="1:43" ht="12.75" customHeight="1" x14ac:dyDescent="0.2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  <c r="AD1000" s="62"/>
      <c r="AE1000" s="62"/>
      <c r="AF1000" s="62"/>
      <c r="AG1000" s="62"/>
      <c r="AH1000" s="62"/>
      <c r="AI1000" s="62"/>
      <c r="AJ1000" s="62"/>
      <c r="AK1000" s="62"/>
      <c r="AL1000" s="62"/>
      <c r="AM1000" s="62"/>
      <c r="AN1000" s="62"/>
      <c r="AO1000" s="62"/>
      <c r="AP1000" s="62"/>
      <c r="AQ1000" s="62"/>
    </row>
  </sheetData>
  <mergeCells count="5">
    <mergeCell ref="I6:I7"/>
    <mergeCell ref="AD6:AD7"/>
    <mergeCell ref="I3:AD3"/>
    <mergeCell ref="I2:AH2"/>
    <mergeCell ref="I4:AF4"/>
  </mergeCells>
  <conditionalFormatting sqref="J28">
    <cfRule type="cellIs" dxfId="49" priority="1" operator="notEqual">
      <formula>J7</formula>
    </cfRule>
  </conditionalFormatting>
  <conditionalFormatting sqref="K28">
    <cfRule type="cellIs" dxfId="48" priority="2" operator="notEqual">
      <formula>K7</formula>
    </cfRule>
  </conditionalFormatting>
  <conditionalFormatting sqref="L28">
    <cfRule type="cellIs" dxfId="47" priority="3" operator="notEqual">
      <formula>L7</formula>
    </cfRule>
  </conditionalFormatting>
  <conditionalFormatting sqref="M28">
    <cfRule type="cellIs" dxfId="46" priority="4" operator="notEqual">
      <formula>M7</formula>
    </cfRule>
  </conditionalFormatting>
  <conditionalFormatting sqref="N28">
    <cfRule type="cellIs" dxfId="45" priority="5" operator="notEqual">
      <formula>N7</formula>
    </cfRule>
  </conditionalFormatting>
  <conditionalFormatting sqref="O28">
    <cfRule type="cellIs" dxfId="44" priority="6" operator="notEqual">
      <formula>O7</formula>
    </cfRule>
  </conditionalFormatting>
  <conditionalFormatting sqref="P28">
    <cfRule type="cellIs" dxfId="43" priority="7" operator="notEqual">
      <formula>P7</formula>
    </cfRule>
  </conditionalFormatting>
  <conditionalFormatting sqref="Q28">
    <cfRule type="cellIs" dxfId="42" priority="8" operator="notEqual">
      <formula>Q7</formula>
    </cfRule>
  </conditionalFormatting>
  <conditionalFormatting sqref="R28">
    <cfRule type="cellIs" dxfId="41" priority="9" operator="notEqual">
      <formula>R7</formula>
    </cfRule>
  </conditionalFormatting>
  <conditionalFormatting sqref="S28">
    <cfRule type="cellIs" dxfId="40" priority="10" operator="notEqual">
      <formula>S7</formula>
    </cfRule>
  </conditionalFormatting>
  <conditionalFormatting sqref="T28">
    <cfRule type="cellIs" dxfId="39" priority="11" operator="notEqual">
      <formula>T7</formula>
    </cfRule>
  </conditionalFormatting>
  <conditionalFormatting sqref="U28">
    <cfRule type="cellIs" dxfId="38" priority="12" operator="notEqual">
      <formula>U7</formula>
    </cfRule>
  </conditionalFormatting>
  <conditionalFormatting sqref="V28">
    <cfRule type="cellIs" dxfId="37" priority="13" operator="notEqual">
      <formula>V7</formula>
    </cfRule>
  </conditionalFormatting>
  <conditionalFormatting sqref="W28">
    <cfRule type="cellIs" dxfId="36" priority="14" operator="notEqual">
      <formula>W7</formula>
    </cfRule>
  </conditionalFormatting>
  <conditionalFormatting sqref="X28">
    <cfRule type="cellIs" dxfId="35" priority="15" operator="notEqual">
      <formula>X7</formula>
    </cfRule>
  </conditionalFormatting>
  <conditionalFormatting sqref="Y28">
    <cfRule type="cellIs" dxfId="34" priority="16" operator="notEqual">
      <formula>Y7</formula>
    </cfRule>
  </conditionalFormatting>
  <conditionalFormatting sqref="Z28">
    <cfRule type="cellIs" dxfId="33" priority="17" operator="notEqual">
      <formula>Z7</formula>
    </cfRule>
  </conditionalFormatting>
  <conditionalFormatting sqref="AA28">
    <cfRule type="cellIs" dxfId="32" priority="18" operator="notEqual">
      <formula>AA7</formula>
    </cfRule>
  </conditionalFormatting>
  <conditionalFormatting sqref="AB28">
    <cfRule type="cellIs" dxfId="31" priority="19" operator="notEqual">
      <formula>AB7</formula>
    </cfRule>
  </conditionalFormatting>
  <conditionalFormatting sqref="AC28">
    <cfRule type="cellIs" dxfId="30" priority="20" operator="notEqual">
      <formula>AC7</formula>
    </cfRule>
  </conditionalFormatting>
  <conditionalFormatting sqref="J29">
    <cfRule type="cellIs" dxfId="29" priority="21" operator="notEqual">
      <formula>0</formula>
    </cfRule>
  </conditionalFormatting>
  <conditionalFormatting sqref="K29:AC29">
    <cfRule type="cellIs" dxfId="28" priority="22" operator="notEqual">
      <formula>0</formula>
    </cfRule>
  </conditionalFormatting>
  <pageMargins left="0.7" right="0.7" top="0.75" bottom="0.75" header="0" footer="0"/>
  <pageSetup orientation="landscape"/>
  <headerFooter>
    <oddFooter>&amp;C&amp;P/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0"/>
  <sheetViews>
    <sheetView workbookViewId="0">
      <pane ySplit="2" topLeftCell="A3" activePane="bottomLeft" state="frozen"/>
      <selection pane="bottomLeft" activeCell="B4" sqref="B4"/>
    </sheetView>
  </sheetViews>
  <sheetFormatPr defaultColWidth="11.21875" defaultRowHeight="15" customHeight="1" x14ac:dyDescent="0.2"/>
  <cols>
    <col min="1" max="3" width="3.77734375" customWidth="1"/>
    <col min="4" max="4" width="17.44140625" customWidth="1"/>
    <col min="5" max="5" width="11.44140625" customWidth="1"/>
    <col min="6" max="7" width="9.21875" customWidth="1"/>
    <col min="8" max="9" width="3.77734375" customWidth="1"/>
    <col min="10" max="29" width="10.77734375" customWidth="1"/>
    <col min="30" max="30" width="3.77734375" customWidth="1"/>
    <col min="31" max="32" width="8.77734375" customWidth="1"/>
    <col min="33" max="40" width="10.77734375" customWidth="1"/>
  </cols>
  <sheetData>
    <row r="1" spans="1:40" ht="39.75" customHeight="1" x14ac:dyDescent="0.2">
      <c r="A1" s="15"/>
      <c r="B1" s="15"/>
      <c r="C1" s="15"/>
      <c r="D1" s="15"/>
      <c r="E1" s="16" t="s">
        <v>2</v>
      </c>
      <c r="F1" s="16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</row>
    <row r="2" spans="1:40" ht="24.75" customHeight="1" x14ac:dyDescent="0.25">
      <c r="A2" s="15"/>
      <c r="B2" s="15"/>
      <c r="C2" s="15"/>
      <c r="D2" s="15"/>
      <c r="E2" s="18" t="s">
        <v>67</v>
      </c>
      <c r="F2" s="17"/>
      <c r="G2" s="15"/>
      <c r="H2" s="15"/>
      <c r="I2" s="350" t="s">
        <v>132</v>
      </c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74"/>
      <c r="AE2" s="15"/>
      <c r="AF2" s="15"/>
      <c r="AG2" s="15"/>
      <c r="AH2" s="15"/>
      <c r="AI2" s="15"/>
      <c r="AJ2" s="15"/>
      <c r="AK2" s="15"/>
      <c r="AL2" s="15"/>
      <c r="AM2" s="15"/>
      <c r="AN2" s="15"/>
    </row>
    <row r="3" spans="1:40" ht="19.5" customHeight="1" x14ac:dyDescent="0.2">
      <c r="A3" s="15"/>
      <c r="B3" s="15"/>
      <c r="C3" s="15"/>
      <c r="D3" s="87"/>
      <c r="E3" s="46"/>
      <c r="F3" s="15"/>
      <c r="G3" s="15"/>
      <c r="H3" s="15"/>
      <c r="I3" s="19"/>
      <c r="J3" s="19"/>
      <c r="K3" s="19"/>
      <c r="L3" s="19"/>
      <c r="M3" s="19"/>
      <c r="N3" s="19"/>
      <c r="O3" s="19"/>
      <c r="P3" s="19"/>
      <c r="Q3" s="19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9"/>
      <c r="AE3" s="15"/>
      <c r="AF3" s="15"/>
      <c r="AG3" s="15"/>
      <c r="AH3" s="15"/>
      <c r="AI3" s="15"/>
      <c r="AJ3" s="15"/>
      <c r="AK3" s="15"/>
      <c r="AL3" s="15"/>
      <c r="AM3" s="15"/>
      <c r="AN3" s="15"/>
    </row>
    <row r="4" spans="1:40" ht="19.5" customHeight="1" x14ac:dyDescent="0.25">
      <c r="A4" s="15"/>
      <c r="B4" s="15"/>
      <c r="C4" s="15"/>
      <c r="D4" s="15"/>
      <c r="E4" s="18">
        <v>1</v>
      </c>
      <c r="F4" s="15"/>
      <c r="G4" s="15"/>
      <c r="H4" s="15"/>
      <c r="I4" s="288" t="s">
        <v>133</v>
      </c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  <c r="AA4" s="289"/>
      <c r="AB4" s="289"/>
      <c r="AC4" s="289"/>
      <c r="AD4" s="290"/>
      <c r="AE4" s="15"/>
      <c r="AF4" s="15"/>
      <c r="AG4" s="15"/>
      <c r="AH4" s="15"/>
      <c r="AI4" s="15"/>
      <c r="AJ4" s="15"/>
      <c r="AK4" s="15"/>
      <c r="AL4" s="15"/>
      <c r="AM4" s="15"/>
      <c r="AN4" s="15"/>
    </row>
    <row r="5" spans="1:40" ht="19.5" customHeight="1" x14ac:dyDescent="0.25">
      <c r="A5" s="15"/>
      <c r="B5" s="15"/>
      <c r="C5" s="15"/>
      <c r="D5" s="15"/>
      <c r="E5" s="18">
        <v>1</v>
      </c>
      <c r="F5" s="15"/>
      <c r="G5" s="15"/>
      <c r="H5" s="15"/>
      <c r="I5" s="23"/>
      <c r="J5" s="23"/>
      <c r="K5" s="23"/>
      <c r="L5" s="23"/>
      <c r="M5" s="23"/>
      <c r="N5" s="23"/>
      <c r="O5" s="23"/>
      <c r="P5" s="23"/>
      <c r="Q5" s="23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23"/>
      <c r="AE5" s="15"/>
      <c r="AF5" s="15"/>
      <c r="AG5" s="15"/>
      <c r="AH5" s="15"/>
      <c r="AI5" s="15"/>
      <c r="AJ5" s="15"/>
      <c r="AK5" s="15"/>
      <c r="AL5" s="15"/>
      <c r="AM5" s="15"/>
      <c r="AN5" s="15"/>
    </row>
    <row r="6" spans="1:40" ht="19.5" customHeight="1" x14ac:dyDescent="0.25">
      <c r="A6" s="15"/>
      <c r="B6" s="15"/>
      <c r="C6" s="15"/>
      <c r="D6" s="15"/>
      <c r="E6" s="18">
        <v>1</v>
      </c>
      <c r="F6" s="15"/>
      <c r="G6" s="15"/>
      <c r="H6" s="15"/>
      <c r="I6" s="291" t="s">
        <v>45</v>
      </c>
      <c r="J6" s="27" t="s">
        <v>71</v>
      </c>
      <c r="K6" s="27" t="s">
        <v>72</v>
      </c>
      <c r="L6" s="27" t="s">
        <v>73</v>
      </c>
      <c r="M6" s="27" t="s">
        <v>74</v>
      </c>
      <c r="N6" s="27" t="s">
        <v>75</v>
      </c>
      <c r="O6" s="27" t="s">
        <v>76</v>
      </c>
      <c r="P6" s="27" t="s">
        <v>77</v>
      </c>
      <c r="Q6" s="27" t="s">
        <v>78</v>
      </c>
      <c r="R6" s="27" t="s">
        <v>79</v>
      </c>
      <c r="S6" s="27" t="s">
        <v>80</v>
      </c>
      <c r="T6" s="27" t="s">
        <v>81</v>
      </c>
      <c r="U6" s="27" t="s">
        <v>82</v>
      </c>
      <c r="V6" s="27" t="s">
        <v>83</v>
      </c>
      <c r="W6" s="27" t="s">
        <v>84</v>
      </c>
      <c r="X6" s="27" t="s">
        <v>85</v>
      </c>
      <c r="Y6" s="27" t="s">
        <v>86</v>
      </c>
      <c r="Z6" s="27" t="s">
        <v>87</v>
      </c>
      <c r="AA6" s="27" t="s">
        <v>88</v>
      </c>
      <c r="AB6" s="27" t="s">
        <v>89</v>
      </c>
      <c r="AC6" s="27" t="s">
        <v>134</v>
      </c>
      <c r="AD6" s="291" t="s">
        <v>45</v>
      </c>
      <c r="AE6" s="15"/>
      <c r="AF6" s="15"/>
      <c r="AG6" s="15"/>
      <c r="AH6" s="15"/>
      <c r="AI6" s="15"/>
      <c r="AJ6" s="15"/>
      <c r="AK6" s="15"/>
      <c r="AL6" s="15"/>
      <c r="AM6" s="15"/>
      <c r="AN6" s="15"/>
    </row>
    <row r="7" spans="1:40" ht="19.5" customHeight="1" x14ac:dyDescent="0.25">
      <c r="A7" s="15"/>
      <c r="B7" s="15"/>
      <c r="C7" s="15"/>
      <c r="D7" s="15"/>
      <c r="E7" s="18">
        <v>1</v>
      </c>
      <c r="F7" s="29"/>
      <c r="G7" s="15"/>
      <c r="H7" s="15"/>
      <c r="I7" s="292"/>
      <c r="J7" s="92">
        <f>IF(AND(Proposta!$L14&lt;&gt;0,Proposta!$U14&lt;&gt;0),Proposta!$L14,0)</f>
        <v>0</v>
      </c>
      <c r="K7" s="92">
        <f>IF(AND(Proposta!$L15&lt;&gt;0,Proposta!$U15&lt;&gt;0),Proposta!$L15,0)</f>
        <v>20000</v>
      </c>
      <c r="L7" s="92">
        <f>IF(AND(Proposta!$L16&lt;&gt;0,Proposta!$U16&lt;&gt;0),Proposta!$L16,0)</f>
        <v>0</v>
      </c>
      <c r="M7" s="92">
        <f>IF(AND(Proposta!$L17&lt;&gt;0,Proposta!$U17&lt;&gt;0),Proposta!$L17,0)</f>
        <v>0</v>
      </c>
      <c r="N7" s="92">
        <f>IF(AND(Proposta!$L18&lt;&gt;0,Proposta!$U18&lt;&gt;0),Proposta!$L18,0)</f>
        <v>0</v>
      </c>
      <c r="O7" s="92">
        <f>IF(AND(Proposta!$L19&lt;&gt;0,Proposta!$U19&lt;&gt;0),Proposta!$L19,0)</f>
        <v>0</v>
      </c>
      <c r="P7" s="92">
        <f>IF(AND(Proposta!$L20&lt;&gt;0,Proposta!$U20&lt;&gt;0),Proposta!$L20,0)</f>
        <v>0</v>
      </c>
      <c r="Q7" s="92">
        <f>IF(AND(Proposta!$L21&lt;&gt;0,Proposta!$U21&lt;&gt;0),Proposta!$L21,0)</f>
        <v>0</v>
      </c>
      <c r="R7" s="92">
        <f>IF(AND(Proposta!$L22&lt;&gt;0,Proposta!$U22&lt;&gt;0),Proposta!$L22,0)</f>
        <v>0</v>
      </c>
      <c r="S7" s="92">
        <f>IF(AND(Proposta!$L23&lt;&gt;0,Proposta!$U23&lt;&gt;0),Proposta!$L23,0)</f>
        <v>0</v>
      </c>
      <c r="T7" s="92">
        <f>IF(AND(Proposta!$L24&lt;&gt;0,Proposta!$U24&lt;&gt;0),Proposta!$L24,0)</f>
        <v>0</v>
      </c>
      <c r="U7" s="92">
        <f>IF(AND(Proposta!$L25&lt;&gt;0,Proposta!$U25&lt;&gt;0),Proposta!$L25,0)</f>
        <v>0</v>
      </c>
      <c r="V7" s="92">
        <f>IF(AND(Proposta!$L26&lt;&gt;0,Proposta!$U26&lt;&gt;0),Proposta!$L26,0)</f>
        <v>0</v>
      </c>
      <c r="W7" s="92">
        <f>IF(AND(Proposta!$L27&lt;&gt;0,Proposta!$U27&lt;&gt;0),Proposta!$L27,0)</f>
        <v>0</v>
      </c>
      <c r="X7" s="92">
        <f>IF(AND(Proposta!$L28&lt;&gt;0,Proposta!$U28&lt;&gt;0),Proposta!$L28,0)</f>
        <v>0</v>
      </c>
      <c r="Y7" s="92">
        <f>IF(AND(Proposta!$L29&lt;&gt;0,Proposta!$U29&lt;&gt;0),Proposta!$L29,0)</f>
        <v>0</v>
      </c>
      <c r="Z7" s="92">
        <f>IF(AND(Proposta!$L30&lt;&gt;0,Proposta!$U30&lt;&gt;0),Proposta!$L30,0)</f>
        <v>0</v>
      </c>
      <c r="AA7" s="92">
        <f>IF(AND(Proposta!$L31&lt;&gt;0,Proposta!$U31&lt;&gt;0),Proposta!$L31,0)</f>
        <v>0</v>
      </c>
      <c r="AB7" s="92">
        <f>IF(AND(Proposta!$L32&lt;&gt;0,Proposta!$U32&lt;&gt;0),Proposta!$L32,0)</f>
        <v>0</v>
      </c>
      <c r="AC7" s="92">
        <f>IF(AND(Proposta!$L33&lt;&gt;0,Proposta!$U33&lt;&gt;0),Proposta!$L33,0)</f>
        <v>0</v>
      </c>
      <c r="AD7" s="292"/>
      <c r="AE7" s="15"/>
      <c r="AF7" s="15"/>
      <c r="AG7" s="15"/>
      <c r="AH7" s="15"/>
      <c r="AI7" s="15"/>
      <c r="AJ7" s="15"/>
      <c r="AK7" s="15"/>
      <c r="AL7" s="15"/>
      <c r="AM7" s="15"/>
      <c r="AN7" s="15"/>
    </row>
    <row r="8" spans="1:40" ht="19.5" customHeight="1" x14ac:dyDescent="0.2">
      <c r="A8" s="15"/>
      <c r="B8" s="15"/>
      <c r="C8" s="15"/>
      <c r="D8" s="15"/>
      <c r="E8" s="46">
        <f>IF(AND(I8&lt;=MAX(Proposta!$N$14:$N$33),$E$7=1),1,0)</f>
        <v>1</v>
      </c>
      <c r="F8" s="15"/>
      <c r="G8" s="15"/>
      <c r="H8" s="15"/>
      <c r="I8" s="93">
        <v>1</v>
      </c>
      <c r="J8" s="132">
        <f>IF(Amortizações!J8=0,0,1)</f>
        <v>0</v>
      </c>
      <c r="K8" s="132">
        <f>IF(Amortizações!K8=0,0,1)</f>
        <v>0</v>
      </c>
      <c r="L8" s="132">
        <f>IF(Amortizações!L8=0,0,1)</f>
        <v>0</v>
      </c>
      <c r="M8" s="132">
        <f>IF(Amortizações!M8=0,0,1)</f>
        <v>0</v>
      </c>
      <c r="N8" s="132">
        <f>IF(Amortizações!N8=0,0,1)</f>
        <v>0</v>
      </c>
      <c r="O8" s="132">
        <f>IF(Amortizações!O8=0,0,1)</f>
        <v>0</v>
      </c>
      <c r="P8" s="132">
        <f>IF(Amortizações!P8=0,0,1)</f>
        <v>0</v>
      </c>
      <c r="Q8" s="132">
        <f>IF(Amortizações!Q8=0,0,1)</f>
        <v>0</v>
      </c>
      <c r="R8" s="132">
        <f>IF(Amortizações!R8=0,0,1)</f>
        <v>0</v>
      </c>
      <c r="S8" s="132">
        <f>IF(Amortizações!S8=0,0,1)</f>
        <v>0</v>
      </c>
      <c r="T8" s="132">
        <f>IF(Amortizações!T8=0,0,1)</f>
        <v>0</v>
      </c>
      <c r="U8" s="132">
        <f>IF(Amortizações!U8=0,0,1)</f>
        <v>0</v>
      </c>
      <c r="V8" s="132">
        <f>IF(Amortizações!V8=0,0,1)</f>
        <v>0</v>
      </c>
      <c r="W8" s="132">
        <f>IF(Amortizações!W8=0,0,1)</f>
        <v>0</v>
      </c>
      <c r="X8" s="132">
        <f>IF(Amortizações!X8=0,0,1)</f>
        <v>0</v>
      </c>
      <c r="Y8" s="132">
        <f>IF(Amortizações!Y8=0,0,1)</f>
        <v>0</v>
      </c>
      <c r="Z8" s="132">
        <f>IF(Amortizações!Z8=0,0,1)</f>
        <v>0</v>
      </c>
      <c r="AA8" s="132">
        <f>IF(Amortizações!AA8=0,0,1)</f>
        <v>0</v>
      </c>
      <c r="AB8" s="132">
        <f>IF(Amortizações!AB8=0,0,1)</f>
        <v>0</v>
      </c>
      <c r="AC8" s="132">
        <f>IF(Amortizações!AC8=0,0,1)</f>
        <v>0</v>
      </c>
      <c r="AD8" s="93">
        <v>1</v>
      </c>
      <c r="AE8" s="15"/>
      <c r="AF8" s="15"/>
      <c r="AG8" s="15"/>
      <c r="AH8" s="15"/>
      <c r="AI8" s="15"/>
      <c r="AJ8" s="15"/>
      <c r="AK8" s="15"/>
      <c r="AL8" s="15"/>
      <c r="AM8" s="15"/>
      <c r="AN8" s="15"/>
    </row>
    <row r="9" spans="1:40" ht="19.5" customHeight="1" x14ac:dyDescent="0.2">
      <c r="A9" s="15"/>
      <c r="B9" s="15"/>
      <c r="C9" s="15"/>
      <c r="D9" s="15"/>
      <c r="E9" s="46">
        <f>IF(AND(I9&lt;=MAX(Proposta!$N$14:$N$33),$E$7=1),1,0)</f>
        <v>1</v>
      </c>
      <c r="F9" s="15"/>
      <c r="G9" s="15"/>
      <c r="H9" s="15"/>
      <c r="I9" s="93">
        <v>2</v>
      </c>
      <c r="J9" s="132">
        <f>IF(AND(Amortizações!J9=0,SUM(Amortizações!J8:J9)=0),0,1)</f>
        <v>0</v>
      </c>
      <c r="K9" s="132">
        <f>IF(AND(Amortizações!K9=0,SUM(Amortizações!$K$8:K9)=0),0,1)</f>
        <v>0</v>
      </c>
      <c r="L9" s="132">
        <f>IF(AND(Amortizações!L9=0,SUM(Amortizações!$L$8:L9)=0),0,1)</f>
        <v>0</v>
      </c>
      <c r="M9" s="132">
        <f>IF(AND(Amortizações!M9=0,SUM(Amortizações!$M$8:M9)=0),0,1)</f>
        <v>0</v>
      </c>
      <c r="N9" s="132">
        <f>IF(AND(Amortizações!N9=0,SUM(Amortizações!$N$8:N9)=0),0,1)</f>
        <v>1</v>
      </c>
      <c r="O9" s="132">
        <f>IF(AND(Amortizações!O9=0,SUM(Amortizações!$O$8:O9)=0),0,1)</f>
        <v>0</v>
      </c>
      <c r="P9" s="132">
        <f>IF(AND(Amortizações!P9=0,SUM(Amortizações!$P$8:P9)=0),0,1)</f>
        <v>0</v>
      </c>
      <c r="Q9" s="132">
        <f>IF(AND(Amortizações!Q9=0,SUM(Amortizações!$Q$8:Q9)=0),0,1)</f>
        <v>0</v>
      </c>
      <c r="R9" s="132">
        <f>IF(AND(Amortizações!R9=0,SUM(Amortizações!$R$8:R9)=0),0,1)</f>
        <v>0</v>
      </c>
      <c r="S9" s="132">
        <f>IF(AND(Amortizações!S9=0,SUM(Amortizações!$S$8:S9)=0),0,1)</f>
        <v>0</v>
      </c>
      <c r="T9" s="132">
        <f>IF(AND(Amortizações!T9=0,SUM(Amortizações!$T$8:T9)=0),0,1)</f>
        <v>1</v>
      </c>
      <c r="U9" s="132">
        <f>IF(AND(Amortizações!U9=0,SUM(Amortizações!$U$8:U9)=0),0,1)</f>
        <v>0</v>
      </c>
      <c r="V9" s="132">
        <f>IF(AND(Amortizações!V9=0,SUM(Amortizações!$V$8:V9)=0),0,1)</f>
        <v>0</v>
      </c>
      <c r="W9" s="132">
        <f>IF(AND(Amortizações!W9=0,SUM(Amortizações!$W$8:W9)=0),0,1)</f>
        <v>0</v>
      </c>
      <c r="X9" s="132">
        <f>IF(AND(Amortizações!X9=0,SUM(Amortizações!$X$8:X9)=0),0,1)</f>
        <v>0</v>
      </c>
      <c r="Y9" s="132">
        <f>IF(AND(Amortizações!Y9=0,SUM(Amortizações!$Y$8:Y9)=0),0,1)</f>
        <v>0</v>
      </c>
      <c r="Z9" s="132">
        <f>IF(AND(Amortizações!Z9=0,SUM(Amortizações!$Z$8:Z9)=0),0,1)</f>
        <v>0</v>
      </c>
      <c r="AA9" s="132">
        <f>IF(AND(Amortizações!AA9=0,SUM(Amortizações!$AA$8:AA9)=0),0,1)</f>
        <v>0</v>
      </c>
      <c r="AB9" s="132">
        <f>IF(AND(Amortizações!AB9=0,SUM(Amortizações!$AB$8:AB9)=0),0,1)</f>
        <v>0</v>
      </c>
      <c r="AC9" s="132">
        <f>IF(AND(Amortizações!AC9=0,SUM(Amortizações!$AC$8:AC9)=0),0,1)</f>
        <v>1</v>
      </c>
      <c r="AD9" s="93">
        <v>2</v>
      </c>
      <c r="AE9" s="15"/>
      <c r="AF9" s="15"/>
      <c r="AG9" s="15"/>
      <c r="AH9" s="15"/>
      <c r="AI9" s="15"/>
      <c r="AJ9" s="15"/>
      <c r="AK9" s="15"/>
      <c r="AL9" s="15"/>
      <c r="AM9" s="15"/>
      <c r="AN9" s="15"/>
    </row>
    <row r="10" spans="1:40" ht="19.5" customHeight="1" x14ac:dyDescent="0.2">
      <c r="A10" s="15"/>
      <c r="B10" s="15"/>
      <c r="C10" s="15"/>
      <c r="D10" s="15"/>
      <c r="E10" s="46">
        <f>IF(AND(I10&lt;=MAX(Proposta!$N$14:$N$33),$E$7=1),1,0)</f>
        <v>1</v>
      </c>
      <c r="F10" s="15"/>
      <c r="G10" s="15"/>
      <c r="H10" s="15"/>
      <c r="I10" s="93">
        <v>3</v>
      </c>
      <c r="J10" s="132">
        <f>IF(AND(Amortizações!J10=0,SUM(Amortizações!$J$8:J10)=0),0,1)</f>
        <v>0</v>
      </c>
      <c r="K10" s="132">
        <f>IF(AND(Amortizações!K10=0,SUM(Amortizações!$K$8:K10)=0),0,1)</f>
        <v>0</v>
      </c>
      <c r="L10" s="132">
        <f>IF(AND(Amortizações!L10=0,SUM(Amortizações!$L$8:L10)=0),0,1)</f>
        <v>1</v>
      </c>
      <c r="M10" s="132">
        <f>IF(AND(Amortizações!M10=0,SUM(Amortizações!$M$8:M10)=0),0,1)</f>
        <v>0</v>
      </c>
      <c r="N10" s="132">
        <f>IF(AND(Amortizações!N10=0,SUM(Amortizações!$N$8:N10)=0),0,1)</f>
        <v>1</v>
      </c>
      <c r="O10" s="132">
        <f>IF(AND(Amortizações!O10=0,SUM(Amortizações!$O$8:O10)=0),0,1)</f>
        <v>0</v>
      </c>
      <c r="P10" s="132">
        <f>IF(AND(Amortizações!P10=0,SUM(Amortizações!$P$8:P10)=0),0,1)</f>
        <v>0</v>
      </c>
      <c r="Q10" s="132">
        <f>IF(AND(Amortizações!Q10=0,SUM(Amortizações!$Q$8:Q10)=0),0,1)</f>
        <v>0</v>
      </c>
      <c r="R10" s="132">
        <f>IF(AND(Amortizações!R10=0,SUM(Amortizações!$R$8:R10)=0),0,1)</f>
        <v>1</v>
      </c>
      <c r="S10" s="132">
        <f>IF(AND(Amortizações!S10=0,SUM(Amortizações!$S$8:S10)=0),0,1)</f>
        <v>0</v>
      </c>
      <c r="T10" s="132">
        <f>IF(AND(Amortizações!T10=0,SUM(Amortizações!$T$8:T10)=0),0,1)</f>
        <v>1</v>
      </c>
      <c r="U10" s="132">
        <f>IF(AND(Amortizações!U10=0,SUM(Amortizações!$U$8:U10)=0),0,1)</f>
        <v>0</v>
      </c>
      <c r="V10" s="132">
        <f>IF(AND(Amortizações!V10=0,SUM(Amortizações!$V$8:V10)=0),0,1)</f>
        <v>0</v>
      </c>
      <c r="W10" s="132">
        <f>IF(AND(Amortizações!W10=0,SUM(Amortizações!$W$8:W10)=0),0,1)</f>
        <v>0</v>
      </c>
      <c r="X10" s="132">
        <f>IF(AND(Amortizações!X10=0,SUM(Amortizações!$X$8:X10)=0),0,1)</f>
        <v>0</v>
      </c>
      <c r="Y10" s="132">
        <f>IF(AND(Amortizações!Y10=0,SUM(Amortizações!$Y$8:Y10)=0),0,1)</f>
        <v>0</v>
      </c>
      <c r="Z10" s="132">
        <f>IF(AND(Amortizações!Z10=0,SUM(Amortizações!$Z$8:Z10)=0),0,1)</f>
        <v>0</v>
      </c>
      <c r="AA10" s="132">
        <f>IF(AND(Amortizações!AA10=0,SUM(Amortizações!$AA$8:AA10)=0),0,1)</f>
        <v>1</v>
      </c>
      <c r="AB10" s="132">
        <f>IF(AND(Amortizações!AB10=0,SUM(Amortizações!$AB$8:AB10)=0),0,1)</f>
        <v>0</v>
      </c>
      <c r="AC10" s="132">
        <f>IF(AND(Amortizações!AC10=0,SUM(Amortizações!$AC$8:AC10)=0),0,1)</f>
        <v>1</v>
      </c>
      <c r="AD10" s="93">
        <v>2</v>
      </c>
      <c r="AE10" s="15"/>
      <c r="AF10" s="15"/>
      <c r="AG10" s="15"/>
      <c r="AH10" s="15"/>
      <c r="AI10" s="15"/>
      <c r="AJ10" s="15"/>
      <c r="AK10" s="15"/>
      <c r="AL10" s="15"/>
      <c r="AM10" s="15"/>
      <c r="AN10" s="15"/>
    </row>
    <row r="11" spans="1:40" ht="19.5" customHeight="1" x14ac:dyDescent="0.2">
      <c r="A11" s="15"/>
      <c r="B11" s="15"/>
      <c r="C11" s="15"/>
      <c r="D11" s="15"/>
      <c r="E11" s="46">
        <f>IF(AND(I11&lt;=MAX(Proposta!$N$14:$N$33),$E$7=1),1,0)</f>
        <v>1</v>
      </c>
      <c r="F11" s="15"/>
      <c r="G11" s="15"/>
      <c r="H11" s="15"/>
      <c r="I11" s="93">
        <v>4</v>
      </c>
      <c r="J11" s="132">
        <f>IF(AND(Amortizações!J11=0,SUM(Amortizações!$J$8:J11)=0),0,1)</f>
        <v>0</v>
      </c>
      <c r="K11" s="132">
        <f>IF(AND(Amortizações!K11=0,SUM(Amortizações!$K$8:K11)=0),0,1)</f>
        <v>1</v>
      </c>
      <c r="L11" s="132">
        <f>IF(AND(Amortizações!L11=0,SUM(Amortizações!$L$8:L11)=0),0,1)</f>
        <v>1</v>
      </c>
      <c r="M11" s="132">
        <f>IF(AND(Amortizações!M11=0,SUM(Amortizações!$M$8:M11)=0),0,1)</f>
        <v>0</v>
      </c>
      <c r="N11" s="132">
        <f>IF(AND(Amortizações!N11=0,SUM(Amortizações!$N$8:N11)=0),0,1)</f>
        <v>1</v>
      </c>
      <c r="O11" s="132">
        <f>IF(AND(Amortizações!O11=0,SUM(Amortizações!$O$8:O11)=0),0,1)</f>
        <v>0</v>
      </c>
      <c r="P11" s="132">
        <f>IF(AND(Amortizações!P11=0,SUM(Amortizações!$P$8:P11)=0),0,1)</f>
        <v>1</v>
      </c>
      <c r="Q11" s="132">
        <f>IF(AND(Amortizações!Q11=0,SUM(Amortizações!$Q$8:Q11)=0),0,1)</f>
        <v>0</v>
      </c>
      <c r="R11" s="132">
        <f>IF(AND(Amortizações!R11=0,SUM(Amortizações!$R$8:R11)=0),0,1)</f>
        <v>1</v>
      </c>
      <c r="S11" s="132">
        <f>IF(AND(Amortizações!S11=0,SUM(Amortizações!$S$8:S11)=0),0,1)</f>
        <v>0</v>
      </c>
      <c r="T11" s="132">
        <f>IF(AND(Amortizações!T11=0,SUM(Amortizações!$T$8:T11)=0),0,1)</f>
        <v>1</v>
      </c>
      <c r="U11" s="132">
        <f>IF(AND(Amortizações!U11=0,SUM(Amortizações!$U$8:U11)=0),0,1)</f>
        <v>0</v>
      </c>
      <c r="V11" s="132">
        <f>IF(AND(Amortizações!V11=0,SUM(Amortizações!$V$8:V11)=0),0,1)</f>
        <v>0</v>
      </c>
      <c r="W11" s="132">
        <f>IF(AND(Amortizações!W11=0,SUM(Amortizações!$W$8:W11)=0),0,1)</f>
        <v>0</v>
      </c>
      <c r="X11" s="132">
        <f>IF(AND(Amortizações!X11=0,SUM(Amortizações!$X$8:X11)=0),0,1)</f>
        <v>0</v>
      </c>
      <c r="Y11" s="132">
        <f>IF(AND(Amortizações!Y11=0,SUM(Amortizações!$Y$8:Y11)=0),0,1)</f>
        <v>0</v>
      </c>
      <c r="Z11" s="132">
        <f>IF(AND(Amortizações!Z11=0,SUM(Amortizações!$Z$8:Z11)=0),0,1)</f>
        <v>0</v>
      </c>
      <c r="AA11" s="132">
        <f>IF(AND(Amortizações!AA11=0,SUM(Amortizações!$AA$8:AA11)=0),0,1)</f>
        <v>1</v>
      </c>
      <c r="AB11" s="132">
        <f>IF(AND(Amortizações!AB11=0,SUM(Amortizações!$AB$8:AB11)=0),0,1)</f>
        <v>0</v>
      </c>
      <c r="AC11" s="132">
        <f>IF(AND(Amortizações!AC11=0,SUM(Amortizações!$AC$8:AC11)=0),0,1)</f>
        <v>1</v>
      </c>
      <c r="AD11" s="93">
        <v>2</v>
      </c>
      <c r="AE11" s="15"/>
      <c r="AF11" s="15"/>
      <c r="AG11" s="15"/>
      <c r="AH11" s="15"/>
      <c r="AI11" s="15"/>
      <c r="AJ11" s="15"/>
      <c r="AK11" s="15"/>
      <c r="AL11" s="15"/>
      <c r="AM11" s="15"/>
      <c r="AN11" s="15"/>
    </row>
    <row r="12" spans="1:40" ht="19.5" customHeight="1" x14ac:dyDescent="0.2">
      <c r="A12" s="15"/>
      <c r="B12" s="15"/>
      <c r="C12" s="15"/>
      <c r="D12" s="15"/>
      <c r="E12" s="46">
        <f>IF(AND(I12&lt;=MAX(Proposta!$N$14:$N$33),$E$7=1),1,0)</f>
        <v>1</v>
      </c>
      <c r="F12" s="15"/>
      <c r="G12" s="15"/>
      <c r="H12" s="15"/>
      <c r="I12" s="93">
        <v>5</v>
      </c>
      <c r="J12" s="132">
        <f>IF(AND(Amortizações!J12=0,SUM(Amortizações!$J$8:J12)=0),0,1)</f>
        <v>0</v>
      </c>
      <c r="K12" s="132">
        <f>IF(AND(Amortizações!K12=0,SUM(Amortizações!$K$8:K12)=0),0,1)</f>
        <v>1</v>
      </c>
      <c r="L12" s="132">
        <f>IF(AND(Amortizações!L12=0,SUM(Amortizações!$L$8:L12)=0),0,1)</f>
        <v>1</v>
      </c>
      <c r="M12" s="132">
        <f>IF(AND(Amortizações!M12=0,SUM(Amortizações!$M$8:M12)=0),0,1)</f>
        <v>0</v>
      </c>
      <c r="N12" s="132">
        <f>IF(AND(Amortizações!N12=0,SUM(Amortizações!$N$8:N12)=0),0,1)</f>
        <v>1</v>
      </c>
      <c r="O12" s="132">
        <f>IF(AND(Amortizações!O12=0,SUM(Amortizações!$O$8:O12)=0),0,1)</f>
        <v>0</v>
      </c>
      <c r="P12" s="132">
        <f>IF(AND(Amortizações!P12=0,SUM(Amortizações!$P$8:P12)=0),0,1)</f>
        <v>1</v>
      </c>
      <c r="Q12" s="132">
        <f>IF(AND(Amortizações!Q12=0,SUM(Amortizações!$Q$8:Q12)=0),0,1)</f>
        <v>0</v>
      </c>
      <c r="R12" s="132">
        <f>IF(AND(Amortizações!R12=0,SUM(Amortizações!$R$8:R12)=0),0,1)</f>
        <v>1</v>
      </c>
      <c r="S12" s="132">
        <f>IF(AND(Amortizações!S12=0,SUM(Amortizações!$S$8:S12)=0),0,1)</f>
        <v>0</v>
      </c>
      <c r="T12" s="132">
        <f>IF(AND(Amortizações!T12=0,SUM(Amortizações!$T$8:T12)=0),0,1)</f>
        <v>1</v>
      </c>
      <c r="U12" s="132">
        <f>IF(AND(Amortizações!U12=0,SUM(Amortizações!$U$8:U12)=0),0,1)</f>
        <v>0</v>
      </c>
      <c r="V12" s="132">
        <f>IF(AND(Amortizações!V12=0,SUM(Amortizações!$V$8:V12)=0),0,1)</f>
        <v>0</v>
      </c>
      <c r="W12" s="132">
        <f>IF(AND(Amortizações!W12=0,SUM(Amortizações!$W$8:W12)=0),0,1)</f>
        <v>0</v>
      </c>
      <c r="X12" s="132">
        <f>IF(AND(Amortizações!X12=0,SUM(Amortizações!$X$8:X12)=0),0,1)</f>
        <v>0</v>
      </c>
      <c r="Y12" s="132">
        <f>IF(AND(Amortizações!Y12=0,SUM(Amortizações!$Y$8:Y12)=0),0,1)</f>
        <v>0</v>
      </c>
      <c r="Z12" s="132">
        <f>IF(AND(Amortizações!Z12=0,SUM(Amortizações!$Z$8:Z12)=0),0,1)</f>
        <v>0</v>
      </c>
      <c r="AA12" s="132">
        <f>IF(AND(Amortizações!AA12=0,SUM(Amortizações!$AA$8:AA12)=0),0,1)</f>
        <v>1</v>
      </c>
      <c r="AB12" s="132">
        <f>IF(AND(Amortizações!AB12=0,SUM(Amortizações!$AB$8:AB12)=0),0,1)</f>
        <v>0</v>
      </c>
      <c r="AC12" s="132">
        <f>IF(AND(Amortizações!AC12=0,SUM(Amortizações!$AC$8:AC12)=0),0,1)</f>
        <v>1</v>
      </c>
      <c r="AD12" s="93">
        <v>2</v>
      </c>
      <c r="AE12" s="15"/>
      <c r="AF12" s="15"/>
      <c r="AG12" s="15"/>
      <c r="AH12" s="15"/>
      <c r="AI12" s="15"/>
      <c r="AJ12" s="15"/>
      <c r="AK12" s="15"/>
      <c r="AL12" s="15"/>
      <c r="AM12" s="15"/>
      <c r="AN12" s="15"/>
    </row>
    <row r="13" spans="1:40" ht="19.5" customHeight="1" x14ac:dyDescent="0.2">
      <c r="A13" s="15"/>
      <c r="B13" s="15"/>
      <c r="C13" s="15"/>
      <c r="D13" s="15"/>
      <c r="E13" s="46">
        <f>IF(AND(I13&lt;=MAX(Proposta!$N$14:$N$33),$E$7=1),1,0)</f>
        <v>1</v>
      </c>
      <c r="F13" s="15"/>
      <c r="G13" s="15"/>
      <c r="H13" s="15"/>
      <c r="I13" s="93">
        <v>6</v>
      </c>
      <c r="J13" s="132">
        <f>IF(AND(Amortizações!J13=0,SUM(Amortizações!$J$8:J13)=0),0,1)</f>
        <v>0</v>
      </c>
      <c r="K13" s="132">
        <f>IF(AND(Amortizações!K13=0,SUM(Amortizações!$K$8:K13)=0),0,1)</f>
        <v>1</v>
      </c>
      <c r="L13" s="132">
        <f>IF(AND(Amortizações!L13=0,SUM(Amortizações!$L$8:L13)=0),0,1)</f>
        <v>1</v>
      </c>
      <c r="M13" s="132">
        <f>IF(AND(Amortizações!M13=0,SUM(Amortizações!$M$8:M13)=0),0,1)</f>
        <v>0</v>
      </c>
      <c r="N13" s="132">
        <f>IF(AND(Amortizações!N13=0,SUM(Amortizações!$N$8:N13)=0),0,1)</f>
        <v>1</v>
      </c>
      <c r="O13" s="132">
        <f>IF(AND(Amortizações!O13=0,SUM(Amortizações!$O$8:O13)=0),0,1)</f>
        <v>0</v>
      </c>
      <c r="P13" s="132">
        <f>IF(AND(Amortizações!P13=0,SUM(Amortizações!$P$8:P13)=0),0,1)</f>
        <v>1</v>
      </c>
      <c r="Q13" s="132">
        <f>IF(AND(Amortizações!Q13=0,SUM(Amortizações!$Q$8:Q13)=0),0,1)</f>
        <v>0</v>
      </c>
      <c r="R13" s="132">
        <f>IF(AND(Amortizações!R13=0,SUM(Amortizações!$R$8:R13)=0),0,1)</f>
        <v>1</v>
      </c>
      <c r="S13" s="132">
        <f>IF(AND(Amortizações!S13=0,SUM(Amortizações!$S$8:S13)=0),0,1)</f>
        <v>0</v>
      </c>
      <c r="T13" s="132">
        <f>IF(AND(Amortizações!T13=0,SUM(Amortizações!$T$8:T13)=0),0,1)</f>
        <v>1</v>
      </c>
      <c r="U13" s="132">
        <f>IF(AND(Amortizações!U13=0,SUM(Amortizações!$U$8:U13)=0),0,1)</f>
        <v>0</v>
      </c>
      <c r="V13" s="132">
        <f>IF(AND(Amortizações!V13=0,SUM(Amortizações!$V$8:V13)=0),0,1)</f>
        <v>0</v>
      </c>
      <c r="W13" s="132">
        <f>IF(AND(Amortizações!W13=0,SUM(Amortizações!$W$8:W13)=0),0,1)</f>
        <v>0</v>
      </c>
      <c r="X13" s="132">
        <f>IF(AND(Amortizações!X13=0,SUM(Amortizações!$X$8:X13)=0),0,1)</f>
        <v>0</v>
      </c>
      <c r="Y13" s="132">
        <f>IF(AND(Amortizações!Y13=0,SUM(Amortizações!$Y$8:Y13)=0),0,1)</f>
        <v>0</v>
      </c>
      <c r="Z13" s="132">
        <f>IF(AND(Amortizações!Z13=0,SUM(Amortizações!$Z$8:Z13)=0),0,1)</f>
        <v>0</v>
      </c>
      <c r="AA13" s="132">
        <f>IF(AND(Amortizações!AA13=0,SUM(Amortizações!$AA$8:AA13)=0),0,1)</f>
        <v>1</v>
      </c>
      <c r="AB13" s="132">
        <f>IF(AND(Amortizações!AB13=0,SUM(Amortizações!$AB$8:AB13)=0),0,1)</f>
        <v>0</v>
      </c>
      <c r="AC13" s="132">
        <f>IF(AND(Amortizações!AC13=0,SUM(Amortizações!$AC$8:AC13)=0),0,1)</f>
        <v>1</v>
      </c>
      <c r="AD13" s="93">
        <v>2</v>
      </c>
      <c r="AE13" s="15"/>
      <c r="AF13" s="15"/>
      <c r="AG13" s="15"/>
      <c r="AH13" s="15"/>
      <c r="AI13" s="15"/>
      <c r="AJ13" s="15"/>
      <c r="AK13" s="15"/>
      <c r="AL13" s="15"/>
      <c r="AM13" s="15"/>
      <c r="AN13" s="15"/>
    </row>
    <row r="14" spans="1:40" ht="19.5" customHeight="1" x14ac:dyDescent="0.2">
      <c r="A14" s="15"/>
      <c r="B14" s="15"/>
      <c r="C14" s="15"/>
      <c r="D14" s="15"/>
      <c r="E14" s="46">
        <f>IF(AND(I14&lt;=MAX(Proposta!$N$14:$N$33),$E$7=1),1,0)</f>
        <v>1</v>
      </c>
      <c r="F14" s="15"/>
      <c r="G14" s="15"/>
      <c r="H14" s="15"/>
      <c r="I14" s="93">
        <v>7</v>
      </c>
      <c r="J14" s="132">
        <f>IF(AND(Amortizações!J14=0,SUM(Amortizações!$J$8:J14)=0),0,1)</f>
        <v>0</v>
      </c>
      <c r="K14" s="132">
        <f>IF(AND(Amortizações!K14=0,SUM(Amortizações!$K$8:K14)=0),0,1)</f>
        <v>1</v>
      </c>
      <c r="L14" s="132">
        <f>IF(AND(Amortizações!L14=0,SUM(Amortizações!$L$8:L14)=0),0,1)</f>
        <v>1</v>
      </c>
      <c r="M14" s="132">
        <f>IF(AND(Amortizações!M14=0,SUM(Amortizações!$M$8:M14)=0),0,1)</f>
        <v>0</v>
      </c>
      <c r="N14" s="132">
        <f>IF(AND(Amortizações!N14=0,SUM(Amortizações!$N$8:N14)=0),0,1)</f>
        <v>1</v>
      </c>
      <c r="O14" s="132">
        <f>IF(AND(Amortizações!O14=0,SUM(Amortizações!$O$8:O14)=0),0,1)</f>
        <v>0</v>
      </c>
      <c r="P14" s="132">
        <f>IF(AND(Amortizações!P14=0,SUM(Amortizações!$P$8:P14)=0),0,1)</f>
        <v>1</v>
      </c>
      <c r="Q14" s="132">
        <f>IF(AND(Amortizações!Q14=0,SUM(Amortizações!$Q$8:Q14)=0),0,1)</f>
        <v>0</v>
      </c>
      <c r="R14" s="132">
        <f>IF(AND(Amortizações!R14=0,SUM(Amortizações!$R$8:R14)=0),0,1)</f>
        <v>1</v>
      </c>
      <c r="S14" s="132">
        <f>IF(AND(Amortizações!S14=0,SUM(Amortizações!$S$8:S14)=0),0,1)</f>
        <v>0</v>
      </c>
      <c r="T14" s="132">
        <f>IF(AND(Amortizações!T14=0,SUM(Amortizações!$T$8:T14)=0),0,1)</f>
        <v>1</v>
      </c>
      <c r="U14" s="132">
        <f>IF(AND(Amortizações!U14=0,SUM(Amortizações!$U$8:U14)=0),0,1)</f>
        <v>0</v>
      </c>
      <c r="V14" s="132">
        <f>IF(AND(Amortizações!V14=0,SUM(Amortizações!$V$8:V14)=0),0,1)</f>
        <v>0</v>
      </c>
      <c r="W14" s="132">
        <f>IF(AND(Amortizações!W14=0,SUM(Amortizações!$W$8:W14)=0),0,1)</f>
        <v>0</v>
      </c>
      <c r="X14" s="132">
        <f>IF(AND(Amortizações!X14=0,SUM(Amortizações!$X$8:X14)=0),0,1)</f>
        <v>0</v>
      </c>
      <c r="Y14" s="132">
        <f>IF(AND(Amortizações!Y14=0,SUM(Amortizações!$Y$8:Y14)=0),0,1)</f>
        <v>0</v>
      </c>
      <c r="Z14" s="132">
        <f>IF(AND(Amortizações!Z14=0,SUM(Amortizações!$Z$8:Z14)=0),0,1)</f>
        <v>0</v>
      </c>
      <c r="AA14" s="132">
        <f>IF(AND(Amortizações!AA14=0,SUM(Amortizações!$AA$8:AA14)=0),0,1)</f>
        <v>1</v>
      </c>
      <c r="AB14" s="132">
        <f>IF(AND(Amortizações!AB14=0,SUM(Amortizações!$AB$8:AB14)=0),0,1)</f>
        <v>0</v>
      </c>
      <c r="AC14" s="132">
        <f>IF(AND(Amortizações!AC14=0,SUM(Amortizações!$AC$8:AC14)=0),0,1)</f>
        <v>1</v>
      </c>
      <c r="AD14" s="93">
        <v>2</v>
      </c>
      <c r="AE14" s="15"/>
      <c r="AF14" s="15"/>
      <c r="AG14" s="15"/>
      <c r="AH14" s="15"/>
      <c r="AI14" s="15"/>
      <c r="AJ14" s="15"/>
      <c r="AK14" s="15"/>
      <c r="AL14" s="15"/>
      <c r="AM14" s="15"/>
      <c r="AN14" s="15"/>
    </row>
    <row r="15" spans="1:40" ht="19.5" customHeight="1" x14ac:dyDescent="0.2">
      <c r="A15" s="15"/>
      <c r="B15" s="15"/>
      <c r="C15" s="15"/>
      <c r="D15" s="15"/>
      <c r="E15" s="46">
        <f>IF(AND(I15&lt;=MAX(Proposta!$N$14:$N$33),$E$7=1),1,0)</f>
        <v>1</v>
      </c>
      <c r="F15" s="15"/>
      <c r="G15" s="15"/>
      <c r="H15" s="15"/>
      <c r="I15" s="93">
        <v>8</v>
      </c>
      <c r="J15" s="132">
        <f>IF(AND(Amortizações!J15=0,SUM(Amortizações!$J$8:J15)=0),0,1)</f>
        <v>0</v>
      </c>
      <c r="K15" s="132">
        <f>IF(AND(Amortizações!K15=0,SUM(Amortizações!$K$8:K15)=0),0,1)</f>
        <v>1</v>
      </c>
      <c r="L15" s="132">
        <f>IF(AND(Amortizações!L15=0,SUM(Amortizações!$L$8:L15)=0),0,1)</f>
        <v>1</v>
      </c>
      <c r="M15" s="132">
        <f>IF(AND(Amortizações!M15=0,SUM(Amortizações!$M$8:M15)=0),0,1)</f>
        <v>0</v>
      </c>
      <c r="N15" s="132">
        <f>IF(AND(Amortizações!N15=0,SUM(Amortizações!$N$8:N15)=0),0,1)</f>
        <v>1</v>
      </c>
      <c r="O15" s="132">
        <f>IF(AND(Amortizações!O15=0,SUM(Amortizações!$O$8:O15)=0),0,1)</f>
        <v>0</v>
      </c>
      <c r="P15" s="132">
        <f>IF(AND(Amortizações!P15=0,SUM(Amortizações!$P$8:P15)=0),0,1)</f>
        <v>1</v>
      </c>
      <c r="Q15" s="132">
        <f>IF(AND(Amortizações!Q15=0,SUM(Amortizações!$Q$8:Q15)=0),0,1)</f>
        <v>0</v>
      </c>
      <c r="R15" s="132">
        <f>IF(AND(Amortizações!R15=0,SUM(Amortizações!$R$8:R15)=0),0,1)</f>
        <v>1</v>
      </c>
      <c r="S15" s="132">
        <f>IF(AND(Amortizações!S15=0,SUM(Amortizações!$S$8:S15)=0),0,1)</f>
        <v>0</v>
      </c>
      <c r="T15" s="132">
        <f>IF(AND(Amortizações!T15=0,SUM(Amortizações!$T$8:T15)=0),0,1)</f>
        <v>1</v>
      </c>
      <c r="U15" s="132">
        <f>IF(AND(Amortizações!U15=0,SUM(Amortizações!$U$8:U15)=0),0,1)</f>
        <v>0</v>
      </c>
      <c r="V15" s="132">
        <f>IF(AND(Amortizações!V15=0,SUM(Amortizações!$V$8:V15)=0),0,1)</f>
        <v>0</v>
      </c>
      <c r="W15" s="132">
        <f>IF(AND(Amortizações!W15=0,SUM(Amortizações!$W$8:W15)=0),0,1)</f>
        <v>0</v>
      </c>
      <c r="X15" s="132">
        <f>IF(AND(Amortizações!X15=0,SUM(Amortizações!$X$8:X15)=0),0,1)</f>
        <v>0</v>
      </c>
      <c r="Y15" s="132">
        <f>IF(AND(Amortizações!Y15=0,SUM(Amortizações!$Y$8:Y15)=0),0,1)</f>
        <v>0</v>
      </c>
      <c r="Z15" s="132">
        <f>IF(AND(Amortizações!Z15=0,SUM(Amortizações!$Z$8:Z15)=0),0,1)</f>
        <v>0</v>
      </c>
      <c r="AA15" s="132">
        <f>IF(AND(Amortizações!AA15=0,SUM(Amortizações!$AA$8:AA15)=0),0,1)</f>
        <v>1</v>
      </c>
      <c r="AB15" s="132">
        <f>IF(AND(Amortizações!AB15=0,SUM(Amortizações!$AB$8:AB15)=0),0,1)</f>
        <v>0</v>
      </c>
      <c r="AC15" s="132">
        <f>IF(AND(Amortizações!AC15=0,SUM(Amortizações!$AC$8:AC15)=0),0,1)</f>
        <v>1</v>
      </c>
      <c r="AD15" s="93">
        <v>2</v>
      </c>
      <c r="AE15" s="15"/>
      <c r="AF15" s="15"/>
      <c r="AG15" s="15"/>
      <c r="AH15" s="15"/>
      <c r="AI15" s="15"/>
      <c r="AJ15" s="15"/>
      <c r="AK15" s="15"/>
      <c r="AL15" s="15"/>
      <c r="AM15" s="15"/>
      <c r="AN15" s="15"/>
    </row>
    <row r="16" spans="1:40" ht="19.5" customHeight="1" x14ac:dyDescent="0.2">
      <c r="A16" s="15"/>
      <c r="B16" s="15"/>
      <c r="C16" s="15"/>
      <c r="D16" s="15"/>
      <c r="E16" s="46">
        <f>IF(AND(I16&lt;=MAX(Proposta!$N$14:$N$33),$E$7=1),1,0)</f>
        <v>1</v>
      </c>
      <c r="F16" s="15"/>
      <c r="G16" s="15"/>
      <c r="H16" s="15"/>
      <c r="I16" s="93">
        <v>9</v>
      </c>
      <c r="J16" s="132">
        <f>IF(AND(Amortizações!J16=0,SUM(Amortizações!$J$8:J16)=0),0,1)</f>
        <v>0</v>
      </c>
      <c r="K16" s="132">
        <f>IF(AND(Amortizações!K16=0,SUM(Amortizações!$K$8:K16)=0),0,1)</f>
        <v>1</v>
      </c>
      <c r="L16" s="132">
        <f>IF(AND(Amortizações!L16=0,SUM(Amortizações!$L$8:L16)=0),0,1)</f>
        <v>1</v>
      </c>
      <c r="M16" s="132">
        <f>IF(AND(Amortizações!M16=0,SUM(Amortizações!$M$8:M16)=0),0,1)</f>
        <v>0</v>
      </c>
      <c r="N16" s="132">
        <f>IF(AND(Amortizações!N16=0,SUM(Amortizações!$N$8:N16)=0),0,1)</f>
        <v>1</v>
      </c>
      <c r="O16" s="132">
        <f>IF(AND(Amortizações!O16=0,SUM(Amortizações!$O$8:O16)=0),0,1)</f>
        <v>0</v>
      </c>
      <c r="P16" s="132">
        <f>IF(AND(Amortizações!P16=0,SUM(Amortizações!$P$8:P16)=0),0,1)</f>
        <v>1</v>
      </c>
      <c r="Q16" s="132">
        <f>IF(AND(Amortizações!Q16=0,SUM(Amortizações!$Q$8:Q16)=0),0,1)</f>
        <v>0</v>
      </c>
      <c r="R16" s="132">
        <f>IF(AND(Amortizações!R16=0,SUM(Amortizações!$R$8:R16)=0),0,1)</f>
        <v>1</v>
      </c>
      <c r="S16" s="132">
        <f>IF(AND(Amortizações!S16=0,SUM(Amortizações!$S$8:S16)=0),0,1)</f>
        <v>0</v>
      </c>
      <c r="T16" s="132">
        <f>IF(AND(Amortizações!T16=0,SUM(Amortizações!$T$8:T16)=0),0,1)</f>
        <v>1</v>
      </c>
      <c r="U16" s="132">
        <f>IF(AND(Amortizações!U16=0,SUM(Amortizações!$U$8:U16)=0),0,1)</f>
        <v>0</v>
      </c>
      <c r="V16" s="132">
        <f>IF(AND(Amortizações!V16=0,SUM(Amortizações!$V$8:V16)=0),0,1)</f>
        <v>0</v>
      </c>
      <c r="W16" s="132">
        <f>IF(AND(Amortizações!W16=0,SUM(Amortizações!$W$8:W16)=0),0,1)</f>
        <v>0</v>
      </c>
      <c r="X16" s="132">
        <f>IF(AND(Amortizações!X16=0,SUM(Amortizações!$X$8:X16)=0),0,1)</f>
        <v>0</v>
      </c>
      <c r="Y16" s="132">
        <f>IF(AND(Amortizações!Y16=0,SUM(Amortizações!$Y$8:Y16)=0),0,1)</f>
        <v>0</v>
      </c>
      <c r="Z16" s="132">
        <f>IF(AND(Amortizações!Z16=0,SUM(Amortizações!$Z$8:Z16)=0),0,1)</f>
        <v>0</v>
      </c>
      <c r="AA16" s="132">
        <f>IF(AND(Amortizações!AA16=0,SUM(Amortizações!$AA$8:AA16)=0),0,1)</f>
        <v>1</v>
      </c>
      <c r="AB16" s="132">
        <f>IF(AND(Amortizações!AB16=0,SUM(Amortizações!$AB$8:AB16)=0),0,1)</f>
        <v>0</v>
      </c>
      <c r="AC16" s="132">
        <f>IF(AND(Amortizações!AC16=0,SUM(Amortizações!$AC$8:AC16)=0),0,1)</f>
        <v>1</v>
      </c>
      <c r="AD16" s="93">
        <v>2</v>
      </c>
      <c r="AE16" s="15"/>
      <c r="AF16" s="15"/>
      <c r="AG16" s="15"/>
      <c r="AH16" s="15"/>
      <c r="AI16" s="15"/>
      <c r="AJ16" s="15"/>
      <c r="AK16" s="15"/>
      <c r="AL16" s="15"/>
      <c r="AM16" s="15"/>
      <c r="AN16" s="15"/>
    </row>
    <row r="17" spans="1:40" ht="19.5" customHeight="1" x14ac:dyDescent="0.2">
      <c r="A17" s="15"/>
      <c r="B17" s="15"/>
      <c r="C17" s="15"/>
      <c r="D17" s="15"/>
      <c r="E17" s="46">
        <f>IF(AND(I17&lt;=MAX(Proposta!$N$14:$N$33),$E$7=1),1,0)</f>
        <v>1</v>
      </c>
      <c r="F17" s="15"/>
      <c r="G17" s="15"/>
      <c r="H17" s="15"/>
      <c r="I17" s="93">
        <v>10</v>
      </c>
      <c r="J17" s="132">
        <f>IF(AND(Amortizações!J17=0,SUM(Amortizações!$J$8:J17)=0),0,1)</f>
        <v>0</v>
      </c>
      <c r="K17" s="132">
        <f>IF(AND(Amortizações!K17=0,SUM(Amortizações!$K$8:K17)=0),0,1)</f>
        <v>1</v>
      </c>
      <c r="L17" s="132">
        <f>IF(AND(Amortizações!L17=0,SUM(Amortizações!$L$8:L17)=0),0,1)</f>
        <v>1</v>
      </c>
      <c r="M17" s="132">
        <f>IF(AND(Amortizações!M17=0,SUM(Amortizações!$M$8:M17)=0),0,1)</f>
        <v>0</v>
      </c>
      <c r="N17" s="132">
        <f>IF(AND(Amortizações!N17=0,SUM(Amortizações!$N$8:N17)=0),0,1)</f>
        <v>1</v>
      </c>
      <c r="O17" s="132">
        <f>IF(AND(Amortizações!O17=0,SUM(Amortizações!$O$8:O17)=0),0,1)</f>
        <v>0</v>
      </c>
      <c r="P17" s="132">
        <f>IF(AND(Amortizações!P17=0,SUM(Amortizações!$P$8:P17)=0),0,1)</f>
        <v>1</v>
      </c>
      <c r="Q17" s="132">
        <f>IF(AND(Amortizações!Q17=0,SUM(Amortizações!$Q$8:Q17)=0),0,1)</f>
        <v>0</v>
      </c>
      <c r="R17" s="132">
        <f>IF(AND(Amortizações!R17=0,SUM(Amortizações!$R$8:R17)=0),0,1)</f>
        <v>1</v>
      </c>
      <c r="S17" s="132">
        <f>IF(AND(Amortizações!S17=0,SUM(Amortizações!$S$8:S17)=0),0,1)</f>
        <v>0</v>
      </c>
      <c r="T17" s="132">
        <f>IF(AND(Amortizações!T17=0,SUM(Amortizações!$T$8:T17)=0),0,1)</f>
        <v>1</v>
      </c>
      <c r="U17" s="132">
        <f>IF(AND(Amortizações!U17=0,SUM(Amortizações!$U$8:U17)=0),0,1)</f>
        <v>0</v>
      </c>
      <c r="V17" s="132">
        <f>IF(AND(Amortizações!V17=0,SUM(Amortizações!$V$8:V17)=0),0,1)</f>
        <v>0</v>
      </c>
      <c r="W17" s="132">
        <f>IF(AND(Amortizações!W17=0,SUM(Amortizações!$W$8:W17)=0),0,1)</f>
        <v>0</v>
      </c>
      <c r="X17" s="132">
        <f>IF(AND(Amortizações!X17=0,SUM(Amortizações!$X$8:X17)=0),0,1)</f>
        <v>0</v>
      </c>
      <c r="Y17" s="132">
        <f>IF(AND(Amortizações!Y17=0,SUM(Amortizações!$Y$8:Y17)=0),0,1)</f>
        <v>0</v>
      </c>
      <c r="Z17" s="132">
        <f>IF(AND(Amortizações!Z17=0,SUM(Amortizações!$Z$8:Z17)=0),0,1)</f>
        <v>0</v>
      </c>
      <c r="AA17" s="132">
        <f>IF(AND(Amortizações!AA17=0,SUM(Amortizações!$AA$8:AA17)=0),0,1)</f>
        <v>1</v>
      </c>
      <c r="AB17" s="132">
        <f>IF(AND(Amortizações!AB17=0,SUM(Amortizações!$AB$8:AB17)=0),0,1)</f>
        <v>0</v>
      </c>
      <c r="AC17" s="132">
        <f>IF(AND(Amortizações!AC17=0,SUM(Amortizações!$AC$8:AC17)=0),0,1)</f>
        <v>1</v>
      </c>
      <c r="AD17" s="93">
        <v>2</v>
      </c>
      <c r="AE17" s="15"/>
      <c r="AF17" s="15"/>
      <c r="AG17" s="15"/>
      <c r="AH17" s="15"/>
      <c r="AI17" s="15"/>
      <c r="AJ17" s="15"/>
      <c r="AK17" s="15"/>
      <c r="AL17" s="15"/>
      <c r="AM17" s="15"/>
      <c r="AN17" s="15"/>
    </row>
    <row r="18" spans="1:40" ht="19.5" customHeight="1" x14ac:dyDescent="0.2">
      <c r="A18" s="15"/>
      <c r="B18" s="15"/>
      <c r="C18" s="15"/>
      <c r="D18" s="15"/>
      <c r="E18" s="46">
        <f>IF(AND(I18&lt;=MAX(Proposta!$N$14:$N$33),$E$7=1),1,0)</f>
        <v>1</v>
      </c>
      <c r="F18" s="15"/>
      <c r="G18" s="15"/>
      <c r="H18" s="15"/>
      <c r="I18" s="93">
        <v>11</v>
      </c>
      <c r="J18" s="132">
        <f>IF(AND(Amortizações!J18=0,SUM(Amortizações!$J$8:J18)=0),0,1)</f>
        <v>0</v>
      </c>
      <c r="K18" s="132">
        <f>IF(AND(Amortizações!K18=0,SUM(Amortizações!$K$8:K18)=0),0,1)</f>
        <v>1</v>
      </c>
      <c r="L18" s="132">
        <f>IF(AND(Amortizações!L18=0,SUM(Amortizações!$L$8:L18)=0),0,1)</f>
        <v>1</v>
      </c>
      <c r="M18" s="132">
        <f>IF(AND(Amortizações!M18=0,SUM(Amortizações!$M$8:M18)=0),0,1)</f>
        <v>0</v>
      </c>
      <c r="N18" s="132">
        <f>IF(AND(Amortizações!N18=0,SUM(Amortizações!$N$8:N18)=0),0,1)</f>
        <v>1</v>
      </c>
      <c r="O18" s="132">
        <f>IF(AND(Amortizações!O18=0,SUM(Amortizações!$O$8:O18)=0),0,1)</f>
        <v>0</v>
      </c>
      <c r="P18" s="132">
        <f>IF(AND(Amortizações!P18=0,SUM(Amortizações!$P$8:P18)=0),0,1)</f>
        <v>1</v>
      </c>
      <c r="Q18" s="132">
        <f>IF(AND(Amortizações!Q18=0,SUM(Amortizações!$Q$8:Q18)=0),0,1)</f>
        <v>0</v>
      </c>
      <c r="R18" s="132">
        <f>IF(AND(Amortizações!R18=0,SUM(Amortizações!$R$8:R18)=0),0,1)</f>
        <v>1</v>
      </c>
      <c r="S18" s="132">
        <f>IF(AND(Amortizações!S18=0,SUM(Amortizações!$S$8:S18)=0),0,1)</f>
        <v>0</v>
      </c>
      <c r="T18" s="132">
        <f>IF(AND(Amortizações!T18=0,SUM(Amortizações!$T$8:T18)=0),0,1)</f>
        <v>1</v>
      </c>
      <c r="U18" s="132">
        <f>IF(AND(Amortizações!U18=0,SUM(Amortizações!$U$8:U18)=0),0,1)</f>
        <v>0</v>
      </c>
      <c r="V18" s="132">
        <f>IF(AND(Amortizações!V18=0,SUM(Amortizações!$V$8:V18)=0),0,1)</f>
        <v>0</v>
      </c>
      <c r="W18" s="132">
        <f>IF(AND(Amortizações!W18=0,SUM(Amortizações!$W$8:W18)=0),0,1)</f>
        <v>0</v>
      </c>
      <c r="X18" s="132">
        <f>IF(AND(Amortizações!X18=0,SUM(Amortizações!$X$8:X18)=0),0,1)</f>
        <v>0</v>
      </c>
      <c r="Y18" s="132">
        <f>IF(AND(Amortizações!Y18=0,SUM(Amortizações!$Y$8:Y18)=0),0,1)</f>
        <v>0</v>
      </c>
      <c r="Z18" s="132">
        <f>IF(AND(Amortizações!Z18=0,SUM(Amortizações!$Z$8:Z18)=0),0,1)</f>
        <v>0</v>
      </c>
      <c r="AA18" s="132">
        <f>IF(AND(Amortizações!AA18=0,SUM(Amortizações!$AA$8:AA18)=0),0,1)</f>
        <v>1</v>
      </c>
      <c r="AB18" s="132">
        <f>IF(AND(Amortizações!AB18=0,SUM(Amortizações!$AB$8:AB18)=0),0,1)</f>
        <v>0</v>
      </c>
      <c r="AC18" s="132">
        <f>IF(AND(Amortizações!AC18=0,SUM(Amortizações!$AC$8:AC18)=0),0,1)</f>
        <v>1</v>
      </c>
      <c r="AD18" s="93">
        <v>2</v>
      </c>
      <c r="AE18" s="15"/>
      <c r="AF18" s="15"/>
      <c r="AG18" s="15"/>
      <c r="AH18" s="15"/>
      <c r="AI18" s="15"/>
      <c r="AJ18" s="15"/>
      <c r="AK18" s="15"/>
      <c r="AL18" s="15"/>
      <c r="AM18" s="15"/>
      <c r="AN18" s="15"/>
    </row>
    <row r="19" spans="1:40" ht="19.5" customHeight="1" x14ac:dyDescent="0.2">
      <c r="A19" s="15"/>
      <c r="B19" s="15"/>
      <c r="C19" s="15"/>
      <c r="D19" s="15"/>
      <c r="E19" s="46">
        <f>IF(AND(I19&lt;=MAX(Proposta!$N$14:$N$33),$E$7=1),1,0)</f>
        <v>1</v>
      </c>
      <c r="F19" s="15"/>
      <c r="G19" s="15"/>
      <c r="H19" s="15"/>
      <c r="I19" s="93">
        <v>12</v>
      </c>
      <c r="J19" s="132">
        <f>IF(AND(Amortizações!J19=0,SUM(Amortizações!$J$8:J19)=0),0,1)</f>
        <v>0</v>
      </c>
      <c r="K19" s="132">
        <f>IF(AND(Amortizações!K19=0,SUM(Amortizações!$K$8:K19)=0),0,1)</f>
        <v>1</v>
      </c>
      <c r="L19" s="132">
        <f>IF(AND(Amortizações!L19=0,SUM(Amortizações!$L$8:L19)=0),0,1)</f>
        <v>1</v>
      </c>
      <c r="M19" s="132">
        <f>IF(AND(Amortizações!M19=0,SUM(Amortizações!$M$8:M19)=0),0,1)</f>
        <v>0</v>
      </c>
      <c r="N19" s="132">
        <f>IF(AND(Amortizações!N19=0,SUM(Amortizações!$N$8:N19)=0),0,1)</f>
        <v>1</v>
      </c>
      <c r="O19" s="132">
        <f>IF(AND(Amortizações!O19=0,SUM(Amortizações!$O$8:O19)=0),0,1)</f>
        <v>0</v>
      </c>
      <c r="P19" s="132">
        <f>IF(AND(Amortizações!P19=0,SUM(Amortizações!$P$8:P19)=0),0,1)</f>
        <v>1</v>
      </c>
      <c r="Q19" s="132">
        <f>IF(AND(Amortizações!Q19=0,SUM(Amortizações!$Q$8:Q19)=0),0,1)</f>
        <v>0</v>
      </c>
      <c r="R19" s="132">
        <f>IF(AND(Amortizações!R19=0,SUM(Amortizações!$R$8:R19)=0),0,1)</f>
        <v>1</v>
      </c>
      <c r="S19" s="132">
        <f>IF(AND(Amortizações!S19=0,SUM(Amortizações!$S$8:S19)=0),0,1)</f>
        <v>0</v>
      </c>
      <c r="T19" s="132">
        <f>IF(AND(Amortizações!T19=0,SUM(Amortizações!$T$8:T19)=0),0,1)</f>
        <v>1</v>
      </c>
      <c r="U19" s="132">
        <f>IF(AND(Amortizações!U19=0,SUM(Amortizações!$U$8:U19)=0),0,1)</f>
        <v>0</v>
      </c>
      <c r="V19" s="132">
        <f>IF(AND(Amortizações!V19=0,SUM(Amortizações!$V$8:V19)=0),0,1)</f>
        <v>0</v>
      </c>
      <c r="W19" s="132">
        <f>IF(AND(Amortizações!W19=0,SUM(Amortizações!$W$8:W19)=0),0,1)</f>
        <v>0</v>
      </c>
      <c r="X19" s="132">
        <f>IF(AND(Amortizações!X19=0,SUM(Amortizações!$X$8:X19)=0),0,1)</f>
        <v>0</v>
      </c>
      <c r="Y19" s="132">
        <f>IF(AND(Amortizações!Y19=0,SUM(Amortizações!$Y$8:Y19)=0),0,1)</f>
        <v>0</v>
      </c>
      <c r="Z19" s="132">
        <f>IF(AND(Amortizações!Z19=0,SUM(Amortizações!$Z$8:Z19)=0),0,1)</f>
        <v>0</v>
      </c>
      <c r="AA19" s="132">
        <f>IF(AND(Amortizações!AA19=0,SUM(Amortizações!$AA$8:AA19)=0),0,1)</f>
        <v>1</v>
      </c>
      <c r="AB19" s="132">
        <f>IF(AND(Amortizações!AB19=0,SUM(Amortizações!$AB$8:AB19)=0),0,1)</f>
        <v>0</v>
      </c>
      <c r="AC19" s="132">
        <f>IF(AND(Amortizações!AC19=0,SUM(Amortizações!$AC$8:AC19)=0),0,1)</f>
        <v>1</v>
      </c>
      <c r="AD19" s="93">
        <v>2</v>
      </c>
      <c r="AE19" s="15"/>
      <c r="AF19" s="15"/>
      <c r="AG19" s="15"/>
      <c r="AH19" s="15"/>
      <c r="AI19" s="15"/>
      <c r="AJ19" s="15"/>
      <c r="AK19" s="15"/>
      <c r="AL19" s="15"/>
      <c r="AM19" s="15"/>
      <c r="AN19" s="15"/>
    </row>
    <row r="20" spans="1:40" ht="19.5" customHeight="1" x14ac:dyDescent="0.2">
      <c r="A20" s="15"/>
      <c r="B20" s="15"/>
      <c r="C20" s="15"/>
      <c r="D20" s="15"/>
      <c r="E20" s="46">
        <f>IF(AND(I20&lt;=MAX(Proposta!$N$14:$N$33),$E$7=1),1,0)</f>
        <v>1</v>
      </c>
      <c r="F20" s="15"/>
      <c r="G20" s="15"/>
      <c r="H20" s="15"/>
      <c r="I20" s="93">
        <v>13</v>
      </c>
      <c r="J20" s="132">
        <f>IF(AND(Amortizações!J20=0,SUM(Amortizações!$J$8:J20)=0),0,1)</f>
        <v>0</v>
      </c>
      <c r="K20" s="132">
        <f>IF(AND(Amortizações!K20=0,SUM(Amortizações!$K$8:K20)=0),0,1)</f>
        <v>1</v>
      </c>
      <c r="L20" s="132">
        <f>IF(AND(Amortizações!L20=0,SUM(Amortizações!$L$8:L20)=0),0,1)</f>
        <v>1</v>
      </c>
      <c r="M20" s="132">
        <f>IF(AND(Amortizações!M20=0,SUM(Amortizações!$M$8:M20)=0),0,1)</f>
        <v>0</v>
      </c>
      <c r="N20" s="132">
        <f>IF(AND(Amortizações!N20=0,SUM(Amortizações!$N$8:N20)=0),0,1)</f>
        <v>1</v>
      </c>
      <c r="O20" s="132">
        <f>IF(AND(Amortizações!O20=0,SUM(Amortizações!$O$8:O20)=0),0,1)</f>
        <v>0</v>
      </c>
      <c r="P20" s="132">
        <f>IF(AND(Amortizações!P20=0,SUM(Amortizações!$P$8:P20)=0),0,1)</f>
        <v>1</v>
      </c>
      <c r="Q20" s="132">
        <f>IF(AND(Amortizações!Q20=0,SUM(Amortizações!$Q$8:Q20)=0),0,1)</f>
        <v>0</v>
      </c>
      <c r="R20" s="132">
        <f>IF(AND(Amortizações!R20=0,SUM(Amortizações!$R$8:R20)=0),0,1)</f>
        <v>1</v>
      </c>
      <c r="S20" s="132">
        <f>IF(AND(Amortizações!S20=0,SUM(Amortizações!$S$8:S20)=0),0,1)</f>
        <v>0</v>
      </c>
      <c r="T20" s="132">
        <f>IF(AND(Amortizações!T20=0,SUM(Amortizações!$T$8:T20)=0),0,1)</f>
        <v>1</v>
      </c>
      <c r="U20" s="132">
        <f>IF(AND(Amortizações!U20=0,SUM(Amortizações!$U$8:U20)=0),0,1)</f>
        <v>0</v>
      </c>
      <c r="V20" s="132">
        <f>IF(AND(Amortizações!V20=0,SUM(Amortizações!$V$8:V20)=0),0,1)</f>
        <v>0</v>
      </c>
      <c r="W20" s="132">
        <f>IF(AND(Amortizações!W20=0,SUM(Amortizações!$W$8:W20)=0),0,1)</f>
        <v>0</v>
      </c>
      <c r="X20" s="132">
        <f>IF(AND(Amortizações!X20=0,SUM(Amortizações!$X$8:X20)=0),0,1)</f>
        <v>0</v>
      </c>
      <c r="Y20" s="132">
        <f>IF(AND(Amortizações!Y20=0,SUM(Amortizações!$Y$8:Y20)=0),0,1)</f>
        <v>0</v>
      </c>
      <c r="Z20" s="132">
        <f>IF(AND(Amortizações!Z20=0,SUM(Amortizações!$Z$8:Z20)=0),0,1)</f>
        <v>0</v>
      </c>
      <c r="AA20" s="132">
        <f>IF(AND(Amortizações!AA20=0,SUM(Amortizações!$AA$8:AA20)=0),0,1)</f>
        <v>1</v>
      </c>
      <c r="AB20" s="132">
        <f>IF(AND(Amortizações!AB20=0,SUM(Amortizações!$AB$8:AB20)=0),0,1)</f>
        <v>0</v>
      </c>
      <c r="AC20" s="132">
        <f>IF(AND(Amortizações!AC20=0,SUM(Amortizações!$AC$8:AC20)=0),0,1)</f>
        <v>1</v>
      </c>
      <c r="AD20" s="93">
        <v>2</v>
      </c>
      <c r="AE20" s="15"/>
      <c r="AF20" s="15"/>
      <c r="AG20" s="15"/>
      <c r="AH20" s="15"/>
      <c r="AI20" s="15"/>
      <c r="AJ20" s="15"/>
      <c r="AK20" s="15"/>
      <c r="AL20" s="15"/>
      <c r="AM20" s="15"/>
      <c r="AN20" s="15"/>
    </row>
    <row r="21" spans="1:40" ht="19.5" customHeight="1" x14ac:dyDescent="0.2">
      <c r="A21" s="15"/>
      <c r="B21" s="15"/>
      <c r="C21" s="15"/>
      <c r="D21" s="15"/>
      <c r="E21" s="46">
        <f>IF(AND(I21&lt;=MAX(Proposta!$N$14:$N$33),$E$7=1),1,0)</f>
        <v>1</v>
      </c>
      <c r="F21" s="15"/>
      <c r="G21" s="15"/>
      <c r="H21" s="15"/>
      <c r="I21" s="93">
        <v>14</v>
      </c>
      <c r="J21" s="132">
        <f>IF(AND(Amortizações!J21=0,SUM(Amortizações!$J$8:J21)=0),0,1)</f>
        <v>0</v>
      </c>
      <c r="K21" s="132">
        <f>IF(AND(Amortizações!K21=0,SUM(Amortizações!$K$8:K21)=0),0,1)</f>
        <v>1</v>
      </c>
      <c r="L21" s="132">
        <f>IF(AND(Amortizações!L21=0,SUM(Amortizações!$L$8:L21)=0),0,1)</f>
        <v>1</v>
      </c>
      <c r="M21" s="132">
        <f>IF(AND(Amortizações!M21=0,SUM(Amortizações!$M$8:M21)=0),0,1)</f>
        <v>0</v>
      </c>
      <c r="N21" s="132">
        <f>IF(AND(Amortizações!N21=0,SUM(Amortizações!$N$8:N21)=0),0,1)</f>
        <v>1</v>
      </c>
      <c r="O21" s="132">
        <f>IF(AND(Amortizações!O21=0,SUM(Amortizações!$O$8:O21)=0),0,1)</f>
        <v>0</v>
      </c>
      <c r="P21" s="132">
        <f>IF(AND(Amortizações!P21=0,SUM(Amortizações!$P$8:P21)=0),0,1)</f>
        <v>1</v>
      </c>
      <c r="Q21" s="132">
        <f>IF(AND(Amortizações!Q21=0,SUM(Amortizações!$Q$8:Q21)=0),0,1)</f>
        <v>0</v>
      </c>
      <c r="R21" s="132">
        <f>IF(AND(Amortizações!R21=0,SUM(Amortizações!$R$8:R21)=0),0,1)</f>
        <v>1</v>
      </c>
      <c r="S21" s="132">
        <f>IF(AND(Amortizações!S21=0,SUM(Amortizações!$S$8:S21)=0),0,1)</f>
        <v>0</v>
      </c>
      <c r="T21" s="132">
        <f>IF(AND(Amortizações!T21=0,SUM(Amortizações!$T$8:T21)=0),0,1)</f>
        <v>1</v>
      </c>
      <c r="U21" s="132">
        <f>IF(AND(Amortizações!U21=0,SUM(Amortizações!$U$8:U21)=0),0,1)</f>
        <v>0</v>
      </c>
      <c r="V21" s="132">
        <f>IF(AND(Amortizações!V21=0,SUM(Amortizações!$V$8:V21)=0),0,1)</f>
        <v>0</v>
      </c>
      <c r="W21" s="132">
        <f>IF(AND(Amortizações!W21=0,SUM(Amortizações!$W$8:W21)=0),0,1)</f>
        <v>0</v>
      </c>
      <c r="X21" s="132">
        <f>IF(AND(Amortizações!X21=0,SUM(Amortizações!$X$8:X21)=0),0,1)</f>
        <v>0</v>
      </c>
      <c r="Y21" s="132">
        <f>IF(AND(Amortizações!Y21=0,SUM(Amortizações!$Y$8:Y21)=0),0,1)</f>
        <v>0</v>
      </c>
      <c r="Z21" s="132">
        <f>IF(AND(Amortizações!Z21=0,SUM(Amortizações!$Z$8:Z21)=0),0,1)</f>
        <v>0</v>
      </c>
      <c r="AA21" s="132">
        <f>IF(AND(Amortizações!AA21=0,SUM(Amortizações!$AA$8:AA21)=0),0,1)</f>
        <v>1</v>
      </c>
      <c r="AB21" s="132">
        <f>IF(AND(Amortizações!AB21=0,SUM(Amortizações!$AB$8:AB21)=0),0,1)</f>
        <v>0</v>
      </c>
      <c r="AC21" s="132">
        <f>IF(AND(Amortizações!AC21=0,SUM(Amortizações!$AC$8:AC21)=0),0,1)</f>
        <v>1</v>
      </c>
      <c r="AD21" s="93">
        <v>2</v>
      </c>
      <c r="AE21" s="15"/>
      <c r="AF21" s="15"/>
      <c r="AG21" s="15"/>
      <c r="AH21" s="15"/>
      <c r="AI21" s="15"/>
      <c r="AJ21" s="15"/>
      <c r="AK21" s="15"/>
      <c r="AL21" s="15"/>
      <c r="AM21" s="15"/>
      <c r="AN21" s="15"/>
    </row>
    <row r="22" spans="1:40" ht="19.5" customHeight="1" x14ac:dyDescent="0.2">
      <c r="A22" s="15"/>
      <c r="B22" s="15"/>
      <c r="C22" s="15"/>
      <c r="D22" s="15"/>
      <c r="E22" s="46">
        <f>IF(AND(I22&lt;=MAX(Proposta!$N$14:$N$33),$E$7=1),1,0)</f>
        <v>1</v>
      </c>
      <c r="F22" s="15"/>
      <c r="G22" s="15"/>
      <c r="H22" s="15"/>
      <c r="I22" s="93">
        <v>15</v>
      </c>
      <c r="J22" s="132">
        <f>IF(AND(Amortizações!J22=0,SUM(Amortizações!$J$8:J22)=0),0,1)</f>
        <v>0</v>
      </c>
      <c r="K22" s="132">
        <f>IF(AND(Amortizações!K22=0,SUM(Amortizações!$K$8:K22)=0),0,1)</f>
        <v>1</v>
      </c>
      <c r="L22" s="132">
        <f>IF(AND(Amortizações!L22=0,SUM(Amortizações!$L$8:L22)=0),0,1)</f>
        <v>1</v>
      </c>
      <c r="M22" s="132">
        <f>IF(AND(Amortizações!M22=0,SUM(Amortizações!$M$8:M22)=0),0,1)</f>
        <v>0</v>
      </c>
      <c r="N22" s="132">
        <f>IF(AND(Amortizações!N22=0,SUM(Amortizações!$N$8:N22)=0),0,1)</f>
        <v>1</v>
      </c>
      <c r="O22" s="132">
        <f>IF(AND(Amortizações!O22=0,SUM(Amortizações!$O$8:O22)=0),0,1)</f>
        <v>0</v>
      </c>
      <c r="P22" s="132">
        <f>IF(AND(Amortizações!P22=0,SUM(Amortizações!$P$8:P22)=0),0,1)</f>
        <v>1</v>
      </c>
      <c r="Q22" s="132">
        <f>IF(AND(Amortizações!Q22=0,SUM(Amortizações!$Q$8:Q22)=0),0,1)</f>
        <v>0</v>
      </c>
      <c r="R22" s="132">
        <f>IF(AND(Amortizações!R22=0,SUM(Amortizações!$R$8:R22)=0),0,1)</f>
        <v>1</v>
      </c>
      <c r="S22" s="132">
        <f>IF(AND(Amortizações!S22=0,SUM(Amortizações!$S$8:S22)=0),0,1)</f>
        <v>0</v>
      </c>
      <c r="T22" s="132">
        <f>IF(AND(Amortizações!T22=0,SUM(Amortizações!$T$8:T22)=0),0,1)</f>
        <v>1</v>
      </c>
      <c r="U22" s="132">
        <f>IF(AND(Amortizações!U22=0,SUM(Amortizações!$U$8:U22)=0),0,1)</f>
        <v>0</v>
      </c>
      <c r="V22" s="132">
        <f>IF(AND(Amortizações!V22=0,SUM(Amortizações!$V$8:V22)=0),0,1)</f>
        <v>0</v>
      </c>
      <c r="W22" s="132">
        <f>IF(AND(Amortizações!W22=0,SUM(Amortizações!$W$8:W22)=0),0,1)</f>
        <v>0</v>
      </c>
      <c r="X22" s="132">
        <f>IF(AND(Amortizações!X22=0,SUM(Amortizações!$X$8:X22)=0),0,1)</f>
        <v>0</v>
      </c>
      <c r="Y22" s="132">
        <f>IF(AND(Amortizações!Y22=0,SUM(Amortizações!$Y$8:Y22)=0),0,1)</f>
        <v>0</v>
      </c>
      <c r="Z22" s="132">
        <f>IF(AND(Amortizações!Z22=0,SUM(Amortizações!$Z$8:Z22)=0),0,1)</f>
        <v>0</v>
      </c>
      <c r="AA22" s="132">
        <f>IF(AND(Amortizações!AA22=0,SUM(Amortizações!$AA$8:AA22)=0),0,1)</f>
        <v>1</v>
      </c>
      <c r="AB22" s="132">
        <f>IF(AND(Amortizações!AB22=0,SUM(Amortizações!$AB$8:AB22)=0),0,1)</f>
        <v>0</v>
      </c>
      <c r="AC22" s="132">
        <f>IF(AND(Amortizações!AC22=0,SUM(Amortizações!$AC$8:AC22)=0),0,1)</f>
        <v>1</v>
      </c>
      <c r="AD22" s="93">
        <v>2</v>
      </c>
      <c r="AE22" s="15"/>
      <c r="AF22" s="15"/>
      <c r="AG22" s="15"/>
      <c r="AH22" s="15"/>
      <c r="AI22" s="15"/>
      <c r="AJ22" s="15"/>
      <c r="AK22" s="15"/>
      <c r="AL22" s="15"/>
      <c r="AM22" s="15"/>
      <c r="AN22" s="15"/>
    </row>
    <row r="23" spans="1:40" ht="19.5" customHeight="1" x14ac:dyDescent="0.2">
      <c r="A23" s="15"/>
      <c r="B23" s="15"/>
      <c r="C23" s="15"/>
      <c r="D23" s="15"/>
      <c r="E23" s="46">
        <f>IF(AND(I23&lt;=MAX(Proposta!$N$14:$N$33),$E$7=1),1,0)</f>
        <v>1</v>
      </c>
      <c r="F23" s="15"/>
      <c r="G23" s="15"/>
      <c r="H23" s="15"/>
      <c r="I23" s="93">
        <v>16</v>
      </c>
      <c r="J23" s="132">
        <f>IF(AND(Amortizações!J23=0,SUM(Amortizações!$J$8:J23)=0),0,1)</f>
        <v>0</v>
      </c>
      <c r="K23" s="132">
        <f>IF(AND(Amortizações!K23=0,SUM(Amortizações!$K$8:K23)=0),0,1)</f>
        <v>1</v>
      </c>
      <c r="L23" s="132">
        <f>IF(AND(Amortizações!L23=0,SUM(Amortizações!$L$8:L23)=0),0,1)</f>
        <v>1</v>
      </c>
      <c r="M23" s="132">
        <f>IF(AND(Amortizações!M23=0,SUM(Amortizações!$M$8:M23)=0),0,1)</f>
        <v>0</v>
      </c>
      <c r="N23" s="132">
        <f>IF(AND(Amortizações!N23=0,SUM(Amortizações!$N$8:N23)=0),0,1)</f>
        <v>1</v>
      </c>
      <c r="O23" s="132">
        <f>IF(AND(Amortizações!O23=0,SUM(Amortizações!$O$8:O23)=0),0,1)</f>
        <v>0</v>
      </c>
      <c r="P23" s="132">
        <f>IF(AND(Amortizações!P23=0,SUM(Amortizações!$P$8:P23)=0),0,1)</f>
        <v>1</v>
      </c>
      <c r="Q23" s="132">
        <f>IF(AND(Amortizações!Q23=0,SUM(Amortizações!$Q$8:Q23)=0),0,1)</f>
        <v>0</v>
      </c>
      <c r="R23" s="132">
        <f>IF(AND(Amortizações!R23=0,SUM(Amortizações!$R$8:R23)=0),0,1)</f>
        <v>1</v>
      </c>
      <c r="S23" s="132">
        <f>IF(AND(Amortizações!S23=0,SUM(Amortizações!$S$8:S23)=0),0,1)</f>
        <v>0</v>
      </c>
      <c r="T23" s="132">
        <f>IF(AND(Amortizações!T23=0,SUM(Amortizações!$T$8:T23)=0),0,1)</f>
        <v>1</v>
      </c>
      <c r="U23" s="132">
        <f>IF(AND(Amortizações!U23=0,SUM(Amortizações!$U$8:U23)=0),0,1)</f>
        <v>0</v>
      </c>
      <c r="V23" s="132">
        <f>IF(AND(Amortizações!V23=0,SUM(Amortizações!$V$8:V23)=0),0,1)</f>
        <v>0</v>
      </c>
      <c r="W23" s="132">
        <f>IF(AND(Amortizações!W23=0,SUM(Amortizações!$W$8:W23)=0),0,1)</f>
        <v>0</v>
      </c>
      <c r="X23" s="132">
        <f>IF(AND(Amortizações!X23=0,SUM(Amortizações!$X$8:X23)=0),0,1)</f>
        <v>0</v>
      </c>
      <c r="Y23" s="132">
        <f>IF(AND(Amortizações!Y23=0,SUM(Amortizações!$Y$8:Y23)=0),0,1)</f>
        <v>0</v>
      </c>
      <c r="Z23" s="132">
        <f>IF(AND(Amortizações!Z23=0,SUM(Amortizações!$Z$8:Z23)=0),0,1)</f>
        <v>0</v>
      </c>
      <c r="AA23" s="132">
        <f>IF(AND(Amortizações!AA23=0,SUM(Amortizações!$AA$8:AA23)=0),0,1)</f>
        <v>1</v>
      </c>
      <c r="AB23" s="132">
        <f>IF(AND(Amortizações!AB23=0,SUM(Amortizações!$AB$8:AB23)=0),0,1)</f>
        <v>0</v>
      </c>
      <c r="AC23" s="132">
        <f>IF(AND(Amortizações!AC23=0,SUM(Amortizações!$AC$8:AC23)=0),0,1)</f>
        <v>1</v>
      </c>
      <c r="AD23" s="93">
        <v>2</v>
      </c>
      <c r="AE23" s="15"/>
      <c r="AF23" s="15"/>
      <c r="AG23" s="15"/>
      <c r="AH23" s="15"/>
      <c r="AI23" s="15"/>
      <c r="AJ23" s="15"/>
      <c r="AK23" s="15"/>
      <c r="AL23" s="15"/>
      <c r="AM23" s="15"/>
      <c r="AN23" s="15"/>
    </row>
    <row r="24" spans="1:40" ht="19.5" customHeight="1" x14ac:dyDescent="0.2">
      <c r="A24" s="15"/>
      <c r="B24" s="15"/>
      <c r="C24" s="15"/>
      <c r="D24" s="15"/>
      <c r="E24" s="46">
        <f>IF(AND(I24&lt;=MAX(Proposta!$N$14:$N$33),$E$7=1),1,0)</f>
        <v>1</v>
      </c>
      <c r="F24" s="15"/>
      <c r="G24" s="15"/>
      <c r="H24" s="15"/>
      <c r="I24" s="93">
        <v>17</v>
      </c>
      <c r="J24" s="132">
        <f>IF(AND(Amortizações!J24=0,SUM(Amortizações!$J$8:J24)=0),0,1)</f>
        <v>0</v>
      </c>
      <c r="K24" s="132">
        <f>IF(AND(Amortizações!K24=0,SUM(Amortizações!$K$8:K24)=0),0,1)</f>
        <v>1</v>
      </c>
      <c r="L24" s="132">
        <f>IF(AND(Amortizações!L24=0,SUM(Amortizações!$L$8:L24)=0),0,1)</f>
        <v>1</v>
      </c>
      <c r="M24" s="132">
        <f>IF(AND(Amortizações!M24=0,SUM(Amortizações!$M$8:M24)=0),0,1)</f>
        <v>0</v>
      </c>
      <c r="N24" s="132">
        <f>IF(AND(Amortizações!N24=0,SUM(Amortizações!$N$8:N24)=0),0,1)</f>
        <v>1</v>
      </c>
      <c r="O24" s="132">
        <f>IF(AND(Amortizações!O24=0,SUM(Amortizações!$O$8:O24)=0),0,1)</f>
        <v>0</v>
      </c>
      <c r="P24" s="132">
        <f>IF(AND(Amortizações!P24=0,SUM(Amortizações!$P$8:P24)=0),0,1)</f>
        <v>1</v>
      </c>
      <c r="Q24" s="132">
        <f>IF(AND(Amortizações!Q24=0,SUM(Amortizações!$Q$8:Q24)=0),0,1)</f>
        <v>0</v>
      </c>
      <c r="R24" s="132">
        <f>IF(AND(Amortizações!R24=0,SUM(Amortizações!$R$8:R24)=0),0,1)</f>
        <v>1</v>
      </c>
      <c r="S24" s="132">
        <f>IF(AND(Amortizações!S24=0,SUM(Amortizações!$S$8:S24)=0),0,1)</f>
        <v>0</v>
      </c>
      <c r="T24" s="132">
        <f>IF(AND(Amortizações!T24=0,SUM(Amortizações!$T$8:T24)=0),0,1)</f>
        <v>1</v>
      </c>
      <c r="U24" s="132">
        <f>IF(AND(Amortizações!U24=0,SUM(Amortizações!$U$8:U24)=0),0,1)</f>
        <v>0</v>
      </c>
      <c r="V24" s="132">
        <f>IF(AND(Amortizações!V24=0,SUM(Amortizações!$V$8:V24)=0),0,1)</f>
        <v>0</v>
      </c>
      <c r="W24" s="132">
        <f>IF(AND(Amortizações!W24=0,SUM(Amortizações!$W$8:W24)=0),0,1)</f>
        <v>0</v>
      </c>
      <c r="X24" s="132">
        <f>IF(AND(Amortizações!X24=0,SUM(Amortizações!$X$8:X24)=0),0,1)</f>
        <v>0</v>
      </c>
      <c r="Y24" s="132">
        <f>IF(AND(Amortizações!Y24=0,SUM(Amortizações!$Y$8:Y24)=0),0,1)</f>
        <v>0</v>
      </c>
      <c r="Z24" s="132">
        <f>IF(AND(Amortizações!Z24=0,SUM(Amortizações!$Z$8:Z24)=0),0,1)</f>
        <v>0</v>
      </c>
      <c r="AA24" s="132">
        <f>IF(AND(Amortizações!AA24=0,SUM(Amortizações!$AA$8:AA24)=0),0,1)</f>
        <v>1</v>
      </c>
      <c r="AB24" s="132">
        <f>IF(AND(Amortizações!AB24=0,SUM(Amortizações!$AB$8:AB24)=0),0,1)</f>
        <v>0</v>
      </c>
      <c r="AC24" s="132">
        <f>IF(AND(Amortizações!AC24=0,SUM(Amortizações!$AC$8:AC24)=0),0,1)</f>
        <v>1</v>
      </c>
      <c r="AD24" s="93">
        <v>2</v>
      </c>
      <c r="AE24" s="15"/>
      <c r="AF24" s="15"/>
      <c r="AG24" s="15"/>
      <c r="AH24" s="15"/>
      <c r="AI24" s="15"/>
      <c r="AJ24" s="15"/>
      <c r="AK24" s="15"/>
      <c r="AL24" s="15"/>
      <c r="AM24" s="15"/>
      <c r="AN24" s="15"/>
    </row>
    <row r="25" spans="1:40" ht="19.5" customHeight="1" x14ac:dyDescent="0.2">
      <c r="A25" s="15"/>
      <c r="B25" s="15"/>
      <c r="C25" s="15"/>
      <c r="D25" s="15"/>
      <c r="E25" s="46">
        <f>IF(AND(I25&lt;=MAX(Proposta!$N$14:$N$33),$E$7=1),1,0)</f>
        <v>1</v>
      </c>
      <c r="F25" s="15"/>
      <c r="G25" s="15"/>
      <c r="H25" s="15"/>
      <c r="I25" s="93">
        <v>18</v>
      </c>
      <c r="J25" s="132">
        <f>IF(AND(Amortizações!J25=0,SUM(Amortizações!$J$8:J25)=0),0,1)</f>
        <v>0</v>
      </c>
      <c r="K25" s="132">
        <f>IF(AND(Amortizações!K25=0,SUM(Amortizações!$K$8:K25)=0),0,1)</f>
        <v>1</v>
      </c>
      <c r="L25" s="132">
        <f>IF(AND(Amortizações!L25=0,SUM(Amortizações!$L$8:L25)=0),0,1)</f>
        <v>1</v>
      </c>
      <c r="M25" s="132">
        <f>IF(AND(Amortizações!M25=0,SUM(Amortizações!$M$8:M25)=0),0,1)</f>
        <v>0</v>
      </c>
      <c r="N25" s="132">
        <f>IF(AND(Amortizações!N25=0,SUM(Amortizações!$N$8:N25)=0),0,1)</f>
        <v>1</v>
      </c>
      <c r="O25" s="132">
        <f>IF(AND(Amortizações!O25=0,SUM(Amortizações!$O$8:O25)=0),0,1)</f>
        <v>0</v>
      </c>
      <c r="P25" s="132">
        <f>IF(AND(Amortizações!P25=0,SUM(Amortizações!$P$8:P25)=0),0,1)</f>
        <v>1</v>
      </c>
      <c r="Q25" s="132">
        <f>IF(AND(Amortizações!Q25=0,SUM(Amortizações!$Q$8:Q25)=0),0,1)</f>
        <v>0</v>
      </c>
      <c r="R25" s="132">
        <f>IF(AND(Amortizações!R25=0,SUM(Amortizações!$R$8:R25)=0),0,1)</f>
        <v>1</v>
      </c>
      <c r="S25" s="132">
        <f>IF(AND(Amortizações!S25=0,SUM(Amortizações!$S$8:S25)=0),0,1)</f>
        <v>0</v>
      </c>
      <c r="T25" s="132">
        <f>IF(AND(Amortizações!T25=0,SUM(Amortizações!$T$8:T25)=0),0,1)</f>
        <v>1</v>
      </c>
      <c r="U25" s="132">
        <f>IF(AND(Amortizações!U25=0,SUM(Amortizações!$U$8:U25)=0),0,1)</f>
        <v>0</v>
      </c>
      <c r="V25" s="132">
        <f>IF(AND(Amortizações!V25=0,SUM(Amortizações!$V$8:V25)=0),0,1)</f>
        <v>0</v>
      </c>
      <c r="W25" s="132">
        <f>IF(AND(Amortizações!W25=0,SUM(Amortizações!$W$8:W25)=0),0,1)</f>
        <v>0</v>
      </c>
      <c r="X25" s="132">
        <f>IF(AND(Amortizações!X25=0,SUM(Amortizações!$X$8:X25)=0),0,1)</f>
        <v>0</v>
      </c>
      <c r="Y25" s="132">
        <f>IF(AND(Amortizações!Y25=0,SUM(Amortizações!$Y$8:Y25)=0),0,1)</f>
        <v>0</v>
      </c>
      <c r="Z25" s="132">
        <f>IF(AND(Amortizações!Z25=0,SUM(Amortizações!$Z$8:Z25)=0),0,1)</f>
        <v>0</v>
      </c>
      <c r="AA25" s="132">
        <f>IF(AND(Amortizações!AA25=0,SUM(Amortizações!$AA$8:AA25)=0),0,1)</f>
        <v>1</v>
      </c>
      <c r="AB25" s="132">
        <f>IF(AND(Amortizações!AB25=0,SUM(Amortizações!$AB$8:AB25)=0),0,1)</f>
        <v>0</v>
      </c>
      <c r="AC25" s="132">
        <f>IF(AND(Amortizações!AC25=0,SUM(Amortizações!$AC$8:AC25)=0),0,1)</f>
        <v>1</v>
      </c>
      <c r="AD25" s="93">
        <v>2</v>
      </c>
      <c r="AE25" s="15"/>
      <c r="AF25" s="15"/>
      <c r="AG25" s="15"/>
      <c r="AH25" s="15"/>
      <c r="AI25" s="15"/>
      <c r="AJ25" s="15"/>
      <c r="AK25" s="15"/>
      <c r="AL25" s="15"/>
      <c r="AM25" s="15"/>
      <c r="AN25" s="15"/>
    </row>
    <row r="26" spans="1:40" ht="19.5" customHeight="1" x14ac:dyDescent="0.2">
      <c r="A26" s="15"/>
      <c r="B26" s="15"/>
      <c r="C26" s="15"/>
      <c r="D26" s="15"/>
      <c r="E26" s="46">
        <f>IF(AND(I26&lt;=MAX(Proposta!$N$14:$N$33),$E$7=1),1,0)</f>
        <v>1</v>
      </c>
      <c r="F26" s="15"/>
      <c r="G26" s="15"/>
      <c r="H26" s="15"/>
      <c r="I26" s="93">
        <v>19</v>
      </c>
      <c r="J26" s="132">
        <f>IF(AND(Amortizações!J26=0,SUM(Amortizações!$J$8:J26)=0),0,1)</f>
        <v>0</v>
      </c>
      <c r="K26" s="132">
        <f>IF(AND(Amortizações!K26=0,SUM(Amortizações!$K$8:K26)=0),0,1)</f>
        <v>1</v>
      </c>
      <c r="L26" s="132">
        <f>IF(AND(Amortizações!L26=0,SUM(Amortizações!$L$8:L26)=0),0,1)</f>
        <v>1</v>
      </c>
      <c r="M26" s="132">
        <f>IF(AND(Amortizações!M26=0,SUM(Amortizações!$M$8:M26)=0),0,1)</f>
        <v>0</v>
      </c>
      <c r="N26" s="132">
        <f>IF(AND(Amortizações!N26=0,SUM(Amortizações!$N$8:N26)=0),0,1)</f>
        <v>1</v>
      </c>
      <c r="O26" s="132">
        <f>IF(AND(Amortizações!O26=0,SUM(Amortizações!$O$8:O26)=0),0,1)</f>
        <v>0</v>
      </c>
      <c r="P26" s="132">
        <f>IF(AND(Amortizações!P26=0,SUM(Amortizações!$P$8:P26)=0),0,1)</f>
        <v>1</v>
      </c>
      <c r="Q26" s="132">
        <f>IF(AND(Amortizações!Q26=0,SUM(Amortizações!$Q$8:Q26)=0),0,1)</f>
        <v>0</v>
      </c>
      <c r="R26" s="132">
        <f>IF(AND(Amortizações!R26=0,SUM(Amortizações!$R$8:R26)=0),0,1)</f>
        <v>1</v>
      </c>
      <c r="S26" s="132">
        <f>IF(AND(Amortizações!S26=0,SUM(Amortizações!$S$8:S26)=0),0,1)</f>
        <v>0</v>
      </c>
      <c r="T26" s="132">
        <f>IF(AND(Amortizações!T26=0,SUM(Amortizações!$T$8:T26)=0),0,1)</f>
        <v>1</v>
      </c>
      <c r="U26" s="132">
        <f>IF(AND(Amortizações!U26=0,SUM(Amortizações!$U$8:U26)=0),0,1)</f>
        <v>0</v>
      </c>
      <c r="V26" s="132">
        <f>IF(AND(Amortizações!V26=0,SUM(Amortizações!$V$8:V26)=0),0,1)</f>
        <v>0</v>
      </c>
      <c r="W26" s="132">
        <f>IF(AND(Amortizações!W26=0,SUM(Amortizações!$W$8:W26)=0),0,1)</f>
        <v>0</v>
      </c>
      <c r="X26" s="132">
        <f>IF(AND(Amortizações!X26=0,SUM(Amortizações!$X$8:X26)=0),0,1)</f>
        <v>0</v>
      </c>
      <c r="Y26" s="132">
        <f>IF(AND(Amortizações!Y26=0,SUM(Amortizações!$Y$8:Y26)=0),0,1)</f>
        <v>0</v>
      </c>
      <c r="Z26" s="132">
        <f>IF(AND(Amortizações!Z26=0,SUM(Amortizações!$Z$8:Z26)=0),0,1)</f>
        <v>0</v>
      </c>
      <c r="AA26" s="132">
        <f>IF(AND(Amortizações!AA26=0,SUM(Amortizações!$AA$8:AA26)=0),0,1)</f>
        <v>1</v>
      </c>
      <c r="AB26" s="132">
        <f>IF(AND(Amortizações!AB26=0,SUM(Amortizações!$AB$8:AB26)=0),0,1)</f>
        <v>0</v>
      </c>
      <c r="AC26" s="132">
        <f>IF(AND(Amortizações!AC26=0,SUM(Amortizações!$AC$8:AC26)=0),0,1)</f>
        <v>1</v>
      </c>
      <c r="AD26" s="93">
        <v>2</v>
      </c>
      <c r="AE26" s="15"/>
      <c r="AF26" s="15"/>
      <c r="AG26" s="15"/>
      <c r="AH26" s="15"/>
      <c r="AI26" s="15"/>
      <c r="AJ26" s="15"/>
      <c r="AK26" s="15"/>
      <c r="AL26" s="15"/>
      <c r="AM26" s="15"/>
      <c r="AN26" s="15"/>
    </row>
    <row r="27" spans="1:40" ht="19.5" customHeight="1" x14ac:dyDescent="0.2">
      <c r="A27" s="15"/>
      <c r="B27" s="15"/>
      <c r="C27" s="15"/>
      <c r="D27" s="15"/>
      <c r="E27" s="46">
        <f>IF(AND(I27&lt;=MAX(Proposta!$N$14:$N$33),$E$7=1),1,0)</f>
        <v>1</v>
      </c>
      <c r="F27" s="15"/>
      <c r="G27" s="15"/>
      <c r="H27" s="15"/>
      <c r="I27" s="93">
        <v>20</v>
      </c>
      <c r="J27" s="132">
        <f>IF(AND(Amortizações!J27=0,SUM(Amortizações!$J$8:J27)=0),0,1)</f>
        <v>0</v>
      </c>
      <c r="K27" s="132">
        <f>IF(AND(Amortizações!K27=0,SUM(Amortizações!$K$8:K27)=0),0,1)</f>
        <v>1</v>
      </c>
      <c r="L27" s="132">
        <f>IF(AND(Amortizações!L27=0,SUM(Amortizações!$L$8:L27)=0),0,1)</f>
        <v>1</v>
      </c>
      <c r="M27" s="132">
        <f>IF(AND(Amortizações!M27=0,SUM(Amortizações!$M$8:M27)=0),0,1)</f>
        <v>0</v>
      </c>
      <c r="N27" s="132">
        <f>IF(AND(Amortizações!N27=0,SUM(Amortizações!$N$8:N27)=0),0,1)</f>
        <v>1</v>
      </c>
      <c r="O27" s="132">
        <f>IF(AND(Amortizações!O27=0,SUM(Amortizações!$O$8:O27)=0),0,1)</f>
        <v>0</v>
      </c>
      <c r="P27" s="132">
        <f>IF(AND(Amortizações!P27=0,SUM(Amortizações!$P$8:P27)=0),0,1)</f>
        <v>1</v>
      </c>
      <c r="Q27" s="132">
        <f>IF(AND(Amortizações!Q27=0,SUM(Amortizações!$Q$8:Q27)=0),0,1)</f>
        <v>0</v>
      </c>
      <c r="R27" s="132">
        <f>IF(AND(Amortizações!R27=0,SUM(Amortizações!$R$8:R27)=0),0,1)</f>
        <v>1</v>
      </c>
      <c r="S27" s="132">
        <f>IF(AND(Amortizações!S27=0,SUM(Amortizações!$S$8:S27)=0),0,1)</f>
        <v>0</v>
      </c>
      <c r="T27" s="132">
        <f>IF(AND(Amortizações!T27=0,SUM(Amortizações!$T$8:T27)=0),0,1)</f>
        <v>1</v>
      </c>
      <c r="U27" s="132">
        <f>IF(AND(Amortizações!U27=0,SUM(Amortizações!$U$8:U27)=0),0,1)</f>
        <v>0</v>
      </c>
      <c r="V27" s="132">
        <f>IF(AND(Amortizações!V27=0,SUM(Amortizações!$V$8:V27)=0),0,1)</f>
        <v>0</v>
      </c>
      <c r="W27" s="132">
        <f>IF(AND(Amortizações!W27=0,SUM(Amortizações!$W$8:W27)=0),0,1)</f>
        <v>0</v>
      </c>
      <c r="X27" s="132">
        <f>IF(AND(Amortizações!X27=0,SUM(Amortizações!$X$8:X27)=0),0,1)</f>
        <v>0</v>
      </c>
      <c r="Y27" s="132">
        <f>IF(AND(Amortizações!Y27=0,SUM(Amortizações!$Y$8:Y27)=0),0,1)</f>
        <v>0</v>
      </c>
      <c r="Z27" s="132">
        <f>IF(AND(Amortizações!Z27=0,SUM(Amortizações!$Z$8:Z27)=0),0,1)</f>
        <v>0</v>
      </c>
      <c r="AA27" s="132">
        <f>IF(AND(Amortizações!AA27=0,SUM(Amortizações!$AA$8:AA27)=0),0,1)</f>
        <v>1</v>
      </c>
      <c r="AB27" s="132">
        <f>IF(AND(Amortizações!AB27=0,SUM(Amortizações!$AB$8:AB27)=0),0,1)</f>
        <v>0</v>
      </c>
      <c r="AC27" s="132">
        <f>IF(AND(Amortizações!AC27=0,SUM(Amortizações!$AC$8:AC27)=0),0,1)</f>
        <v>1</v>
      </c>
      <c r="AD27" s="93">
        <v>2</v>
      </c>
      <c r="AE27" s="15"/>
      <c r="AF27" s="15"/>
      <c r="AG27" s="15"/>
      <c r="AH27" s="15"/>
      <c r="AI27" s="15"/>
      <c r="AJ27" s="15"/>
      <c r="AK27" s="15"/>
      <c r="AL27" s="15"/>
      <c r="AM27" s="15"/>
      <c r="AN27" s="15"/>
    </row>
    <row r="28" spans="1:40" ht="19.5" customHeight="1" x14ac:dyDescent="0.25">
      <c r="A28" s="15"/>
      <c r="B28" s="15"/>
      <c r="C28" s="15"/>
      <c r="D28" s="15"/>
      <c r="E28" s="18">
        <v>1</v>
      </c>
      <c r="F28" s="15"/>
      <c r="G28" s="15"/>
      <c r="H28" s="15"/>
      <c r="I28" s="27" t="s">
        <v>90</v>
      </c>
      <c r="J28" s="134">
        <f t="shared" ref="J28:AC28" si="0">COUNTIF(J8:J27,"=0")</f>
        <v>20</v>
      </c>
      <c r="K28" s="134">
        <f t="shared" si="0"/>
        <v>3</v>
      </c>
      <c r="L28" s="134">
        <f t="shared" si="0"/>
        <v>2</v>
      </c>
      <c r="M28" s="134">
        <f t="shared" si="0"/>
        <v>20</v>
      </c>
      <c r="N28" s="134">
        <f t="shared" si="0"/>
        <v>1</v>
      </c>
      <c r="O28" s="134">
        <f t="shared" si="0"/>
        <v>20</v>
      </c>
      <c r="P28" s="134">
        <f t="shared" si="0"/>
        <v>3</v>
      </c>
      <c r="Q28" s="134">
        <f t="shared" si="0"/>
        <v>20</v>
      </c>
      <c r="R28" s="134">
        <f t="shared" si="0"/>
        <v>2</v>
      </c>
      <c r="S28" s="134">
        <f t="shared" si="0"/>
        <v>20</v>
      </c>
      <c r="T28" s="134">
        <f t="shared" si="0"/>
        <v>1</v>
      </c>
      <c r="U28" s="134">
        <f t="shared" si="0"/>
        <v>20</v>
      </c>
      <c r="V28" s="134">
        <f t="shared" si="0"/>
        <v>20</v>
      </c>
      <c r="W28" s="134">
        <f t="shared" si="0"/>
        <v>20</v>
      </c>
      <c r="X28" s="134">
        <f t="shared" si="0"/>
        <v>20</v>
      </c>
      <c r="Y28" s="134">
        <f t="shared" si="0"/>
        <v>20</v>
      </c>
      <c r="Z28" s="134">
        <f t="shared" si="0"/>
        <v>20</v>
      </c>
      <c r="AA28" s="134">
        <f t="shared" si="0"/>
        <v>2</v>
      </c>
      <c r="AB28" s="134">
        <f t="shared" si="0"/>
        <v>20</v>
      </c>
      <c r="AC28" s="134">
        <f t="shared" si="0"/>
        <v>1</v>
      </c>
      <c r="AD28" s="93">
        <v>20</v>
      </c>
      <c r="AE28" s="15"/>
      <c r="AF28" s="15"/>
      <c r="AG28" s="15"/>
      <c r="AH28" s="15"/>
      <c r="AI28" s="15"/>
      <c r="AJ28" s="15"/>
      <c r="AK28" s="15"/>
      <c r="AL28" s="15"/>
      <c r="AM28" s="15"/>
      <c r="AN28" s="15"/>
    </row>
    <row r="29" spans="1:40" ht="19.5" customHeight="1" x14ac:dyDescent="0.2">
      <c r="A29" s="15"/>
      <c r="B29" s="15"/>
      <c r="C29" s="15"/>
      <c r="D29" s="15"/>
      <c r="E29" s="46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</row>
    <row r="30" spans="1:40" ht="19.5" customHeight="1" x14ac:dyDescent="0.2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</row>
    <row r="31" spans="1:40" ht="19.5" customHeight="1" x14ac:dyDescent="0.2">
      <c r="A31" s="15"/>
      <c r="B31" s="15"/>
      <c r="C31" s="15"/>
      <c r="D31" s="15"/>
      <c r="E31" s="15"/>
      <c r="F31" s="15"/>
      <c r="G31" s="15"/>
      <c r="H31" s="15"/>
      <c r="I31" s="15"/>
      <c r="J31" s="96">
        <v>1</v>
      </c>
      <c r="K31" s="97">
        <v>2</v>
      </c>
      <c r="L31" s="97">
        <v>3</v>
      </c>
      <c r="M31" s="97">
        <v>4</v>
      </c>
      <c r="N31" s="97">
        <v>5</v>
      </c>
      <c r="O31" s="97">
        <v>6</v>
      </c>
      <c r="P31" s="97">
        <v>7</v>
      </c>
      <c r="Q31" s="97">
        <v>8</v>
      </c>
      <c r="R31" s="97">
        <v>9</v>
      </c>
      <c r="S31" s="97">
        <v>10</v>
      </c>
      <c r="T31" s="97">
        <v>11</v>
      </c>
      <c r="U31" s="97">
        <v>12</v>
      </c>
      <c r="V31" s="97">
        <v>13</v>
      </c>
      <c r="W31" s="97">
        <v>14</v>
      </c>
      <c r="X31" s="97">
        <v>15</v>
      </c>
      <c r="Y31" s="97">
        <v>16</v>
      </c>
      <c r="Z31" s="97">
        <v>17</v>
      </c>
      <c r="AA31" s="97">
        <v>18</v>
      </c>
      <c r="AB31" s="97">
        <v>19</v>
      </c>
      <c r="AC31" s="97">
        <v>20</v>
      </c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</row>
    <row r="32" spans="1:40" ht="19.5" customHeight="1" x14ac:dyDescent="0.2">
      <c r="A32" s="15"/>
      <c r="B32" s="15"/>
      <c r="C32" s="15"/>
      <c r="D32" s="15"/>
      <c r="E32" s="15"/>
      <c r="F32" s="15"/>
      <c r="G32" s="15"/>
      <c r="H32" s="15"/>
      <c r="I32" s="15"/>
      <c r="J32" s="98">
        <f t="shared" ref="J32:AC32" si="1">IF(J7&gt;0,1,0)</f>
        <v>0</v>
      </c>
      <c r="K32" s="99">
        <f t="shared" si="1"/>
        <v>1</v>
      </c>
      <c r="L32" s="99">
        <f t="shared" si="1"/>
        <v>0</v>
      </c>
      <c r="M32" s="99">
        <f t="shared" si="1"/>
        <v>0</v>
      </c>
      <c r="N32" s="99">
        <f t="shared" si="1"/>
        <v>0</v>
      </c>
      <c r="O32" s="99">
        <f t="shared" si="1"/>
        <v>0</v>
      </c>
      <c r="P32" s="99">
        <f t="shared" si="1"/>
        <v>0</v>
      </c>
      <c r="Q32" s="99">
        <f t="shared" si="1"/>
        <v>0</v>
      </c>
      <c r="R32" s="99">
        <f t="shared" si="1"/>
        <v>0</v>
      </c>
      <c r="S32" s="99">
        <f t="shared" si="1"/>
        <v>0</v>
      </c>
      <c r="T32" s="99">
        <f t="shared" si="1"/>
        <v>0</v>
      </c>
      <c r="U32" s="99">
        <f t="shared" si="1"/>
        <v>0</v>
      </c>
      <c r="V32" s="99">
        <f t="shared" si="1"/>
        <v>0</v>
      </c>
      <c r="W32" s="99">
        <f t="shared" si="1"/>
        <v>0</v>
      </c>
      <c r="X32" s="99">
        <f t="shared" si="1"/>
        <v>0</v>
      </c>
      <c r="Y32" s="99">
        <f t="shared" si="1"/>
        <v>0</v>
      </c>
      <c r="Z32" s="99">
        <f t="shared" si="1"/>
        <v>0</v>
      </c>
      <c r="AA32" s="99">
        <f t="shared" si="1"/>
        <v>0</v>
      </c>
      <c r="AB32" s="99">
        <f t="shared" si="1"/>
        <v>0</v>
      </c>
      <c r="AC32" s="99">
        <f t="shared" si="1"/>
        <v>0</v>
      </c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</row>
    <row r="33" spans="1:40" ht="19.5" customHeight="1" x14ac:dyDescent="0.2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</row>
    <row r="34" spans="1:40" ht="19.5" customHeight="1" x14ac:dyDescent="0.2">
      <c r="A34" s="15"/>
      <c r="B34" s="15"/>
      <c r="C34" s="15"/>
      <c r="D34" s="15"/>
      <c r="E34" s="15"/>
      <c r="F34" s="15"/>
      <c r="G34" s="15"/>
      <c r="H34" s="15"/>
      <c r="I34" s="100" t="s">
        <v>92</v>
      </c>
      <c r="J34" s="101" t="str">
        <f>Proposta!$O14</f>
        <v/>
      </c>
      <c r="K34" s="101">
        <f>Proposta!$O15</f>
        <v>3</v>
      </c>
      <c r="L34" s="101">
        <f>Proposta!$O16</f>
        <v>0</v>
      </c>
      <c r="M34" s="101">
        <f>Proposta!$O17</f>
        <v>0</v>
      </c>
      <c r="N34" s="101">
        <f>Proposta!$O18</f>
        <v>0</v>
      </c>
      <c r="O34" s="101">
        <f>Proposta!$O19</f>
        <v>0</v>
      </c>
      <c r="P34" s="101">
        <f>Proposta!$O20</f>
        <v>0</v>
      </c>
      <c r="Q34" s="101">
        <f>Proposta!$O21</f>
        <v>0</v>
      </c>
      <c r="R34" s="101">
        <f>Proposta!$O22</f>
        <v>0</v>
      </c>
      <c r="S34" s="101">
        <f>Proposta!$O23</f>
        <v>0</v>
      </c>
      <c r="T34" s="101">
        <f>Proposta!$O24</f>
        <v>0</v>
      </c>
      <c r="U34" s="101">
        <f>Proposta!$O25</f>
        <v>0</v>
      </c>
      <c r="V34" s="101">
        <f>Proposta!$O26</f>
        <v>0</v>
      </c>
      <c r="W34" s="101">
        <f>Proposta!$O27</f>
        <v>0</v>
      </c>
      <c r="X34" s="101">
        <f>Proposta!$O28</f>
        <v>0</v>
      </c>
      <c r="Y34" s="101">
        <f>Proposta!$O29</f>
        <v>0</v>
      </c>
      <c r="Z34" s="101">
        <f>Proposta!$O30</f>
        <v>0</v>
      </c>
      <c r="AA34" s="101">
        <f>Proposta!$O31</f>
        <v>0</v>
      </c>
      <c r="AB34" s="101">
        <f>Proposta!$O32</f>
        <v>0</v>
      </c>
      <c r="AC34" s="101">
        <f>Proposta!$O33</f>
        <v>0</v>
      </c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</row>
    <row r="35" spans="1:40" ht="19.5" customHeight="1" x14ac:dyDescent="0.2">
      <c r="A35" s="15"/>
      <c r="B35" s="15"/>
      <c r="C35" s="15"/>
      <c r="D35" s="15"/>
      <c r="E35" s="15"/>
      <c r="F35" s="15"/>
      <c r="G35" s="15"/>
      <c r="H35" s="15"/>
      <c r="I35" s="15"/>
      <c r="J35" s="102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</row>
    <row r="36" spans="1:40" ht="19.5" customHeight="1" x14ac:dyDescent="0.2">
      <c r="A36" s="15"/>
      <c r="B36" s="15"/>
      <c r="C36" s="15"/>
      <c r="D36" s="15"/>
      <c r="E36" s="15"/>
      <c r="F36" s="15"/>
      <c r="G36" s="15"/>
      <c r="H36" s="15"/>
      <c r="I36" s="100" t="s">
        <v>93</v>
      </c>
      <c r="J36" s="101" t="str">
        <f>Proposta!$N14</f>
        <v/>
      </c>
      <c r="K36" s="101">
        <f>Proposta!$N15</f>
        <v>20</v>
      </c>
      <c r="L36" s="101">
        <f>Proposta!$N16</f>
        <v>0</v>
      </c>
      <c r="M36" s="101">
        <f>Proposta!$N17</f>
        <v>0</v>
      </c>
      <c r="N36" s="101">
        <f>Proposta!$N18</f>
        <v>0</v>
      </c>
      <c r="O36" s="101">
        <f>Proposta!$N19</f>
        <v>0</v>
      </c>
      <c r="P36" s="101">
        <f>Proposta!$N20</f>
        <v>0</v>
      </c>
      <c r="Q36" s="101">
        <f>Proposta!$N21</f>
        <v>0</v>
      </c>
      <c r="R36" s="101">
        <f>Proposta!$N22</f>
        <v>0</v>
      </c>
      <c r="S36" s="101">
        <f>Proposta!$N23</f>
        <v>0</v>
      </c>
      <c r="T36" s="101">
        <f>Proposta!$N24</f>
        <v>0</v>
      </c>
      <c r="U36" s="101">
        <f>Proposta!$N25</f>
        <v>0</v>
      </c>
      <c r="V36" s="101">
        <f>Proposta!$N26</f>
        <v>0</v>
      </c>
      <c r="W36" s="101">
        <f>Proposta!$N27</f>
        <v>0</v>
      </c>
      <c r="X36" s="101">
        <f>Proposta!$N28</f>
        <v>0</v>
      </c>
      <c r="Y36" s="101">
        <f>Proposta!$N29</f>
        <v>0</v>
      </c>
      <c r="Z36" s="101">
        <f>Proposta!$N30</f>
        <v>0</v>
      </c>
      <c r="AA36" s="101">
        <f>Proposta!$N31</f>
        <v>0</v>
      </c>
      <c r="AB36" s="101">
        <f>Proposta!$N32</f>
        <v>0</v>
      </c>
      <c r="AC36" s="101">
        <f>Proposta!$N33</f>
        <v>0</v>
      </c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</row>
    <row r="37" spans="1:40" ht="19.5" customHeight="1" x14ac:dyDescent="0.2">
      <c r="A37" s="15"/>
      <c r="B37" s="15"/>
      <c r="C37" s="15"/>
      <c r="D37" s="15"/>
      <c r="E37" s="15"/>
      <c r="F37" s="15"/>
      <c r="G37" s="15"/>
      <c r="H37" s="15"/>
      <c r="I37" s="15"/>
      <c r="J37" s="104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</row>
    <row r="38" spans="1:40" ht="19.5" customHeight="1" x14ac:dyDescent="0.2">
      <c r="A38" s="15"/>
      <c r="B38" s="15"/>
      <c r="C38" s="15"/>
      <c r="D38" s="15"/>
      <c r="E38" s="15"/>
      <c r="F38" s="15"/>
      <c r="G38" s="15"/>
      <c r="H38" s="15"/>
      <c r="I38" s="100" t="s">
        <v>94</v>
      </c>
      <c r="J38" s="101" t="str">
        <f>IF(AND(Proposta!$S14="Não",Proposta!$G14=1),"Não","Sim")</f>
        <v>Sim</v>
      </c>
      <c r="K38" s="101" t="str">
        <f>IF(AND(Proposta!$S15="Não",Proposta!$G15=1),"Não","Sim")</f>
        <v>Não</v>
      </c>
      <c r="L38" s="101" t="str">
        <f>IF(AND(Proposta!$S16="Não",Proposta!$G16=1),"Não","Sim")</f>
        <v>Sim</v>
      </c>
      <c r="M38" s="101" t="str">
        <f>IF(AND(Proposta!$S17="Não",Proposta!$G17=1),"Não","Sim")</f>
        <v>Sim</v>
      </c>
      <c r="N38" s="101" t="str">
        <f>IF(AND(Proposta!$S18="Não",Proposta!$G18=1),"Não","Sim")</f>
        <v>Sim</v>
      </c>
      <c r="O38" s="101" t="str">
        <f>IF(AND(Proposta!$S19="Não",Proposta!$G19=1),"Não","Sim")</f>
        <v>Sim</v>
      </c>
      <c r="P38" s="101" t="str">
        <f>IF(AND(Proposta!$S20="Não",Proposta!$G20=1),"Não","Sim")</f>
        <v>Sim</v>
      </c>
      <c r="Q38" s="101" t="str">
        <f>IF(AND(Proposta!$S21="Não",Proposta!$G21=1),"Não","Sim")</f>
        <v>Sim</v>
      </c>
      <c r="R38" s="101" t="str">
        <f>IF(AND(Proposta!$S22="Não",Proposta!$G22=1),"Não","Sim")</f>
        <v>Sim</v>
      </c>
      <c r="S38" s="101" t="str">
        <f>IF(AND(Proposta!$S23="Não",Proposta!$G23=1),"Não","Sim")</f>
        <v>Sim</v>
      </c>
      <c r="T38" s="101" t="str">
        <f>IF(AND(Proposta!$S24="Não",Proposta!$G24=1),"Não","Sim")</f>
        <v>Sim</v>
      </c>
      <c r="U38" s="101" t="str">
        <f>IF(AND(Proposta!$S25="Não",Proposta!$G25=1),"Não","Sim")</f>
        <v>Sim</v>
      </c>
      <c r="V38" s="101" t="str">
        <f>IF(AND(Proposta!$S26="Não",Proposta!$G26=1),"Não","Sim")</f>
        <v>Sim</v>
      </c>
      <c r="W38" s="101" t="str">
        <f>IF(AND(Proposta!$S27="Não",Proposta!$G27=1),"Não","Sim")</f>
        <v>Sim</v>
      </c>
      <c r="X38" s="101" t="str">
        <f>IF(AND(Proposta!$S28="Não",Proposta!$G28=1),"Não","Sim")</f>
        <v>Sim</v>
      </c>
      <c r="Y38" s="101" t="str">
        <f>IF(AND(Proposta!$S29="Não",Proposta!$G29=1),"Não","Sim")</f>
        <v>Sim</v>
      </c>
      <c r="Z38" s="101" t="str">
        <f>IF(AND(Proposta!$S30="Não",Proposta!$G30=1),"Não","Sim")</f>
        <v>Sim</v>
      </c>
      <c r="AA38" s="101" t="str">
        <f>IF(AND(Proposta!$S31="Não",Proposta!$G31=1),"Não","Sim")</f>
        <v>Sim</v>
      </c>
      <c r="AB38" s="101" t="str">
        <f>IF(AND(Proposta!$S32="Não",Proposta!$G32=1),"Não","Sim")</f>
        <v>Sim</v>
      </c>
      <c r="AC38" s="101" t="str">
        <f>IF(AND(Proposta!$S33="Não",Proposta!$G33=1),"Não","Sim")</f>
        <v>Sim</v>
      </c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</row>
    <row r="39" spans="1:40" ht="19.5" customHeight="1" x14ac:dyDescent="0.2">
      <c r="A39" s="15"/>
      <c r="B39" s="15"/>
      <c r="C39" s="15"/>
      <c r="D39" s="15"/>
      <c r="E39" s="15"/>
      <c r="F39" s="15"/>
      <c r="G39" s="15"/>
      <c r="H39" s="15"/>
      <c r="I39" s="100" t="s">
        <v>97</v>
      </c>
      <c r="J39" s="101">
        <f t="shared" ref="J39:AC39" si="2">COUNTIF(J8:J27,"&gt;0")</f>
        <v>0</v>
      </c>
      <c r="K39" s="101">
        <f t="shared" si="2"/>
        <v>17</v>
      </c>
      <c r="L39" s="101">
        <f t="shared" si="2"/>
        <v>18</v>
      </c>
      <c r="M39" s="101">
        <f t="shared" si="2"/>
        <v>0</v>
      </c>
      <c r="N39" s="101">
        <f t="shared" si="2"/>
        <v>19</v>
      </c>
      <c r="O39" s="101">
        <f t="shared" si="2"/>
        <v>0</v>
      </c>
      <c r="P39" s="101">
        <f t="shared" si="2"/>
        <v>17</v>
      </c>
      <c r="Q39" s="101">
        <f t="shared" si="2"/>
        <v>0</v>
      </c>
      <c r="R39" s="101">
        <f t="shared" si="2"/>
        <v>18</v>
      </c>
      <c r="S39" s="101">
        <f t="shared" si="2"/>
        <v>0</v>
      </c>
      <c r="T39" s="101">
        <f t="shared" si="2"/>
        <v>19</v>
      </c>
      <c r="U39" s="101">
        <f t="shared" si="2"/>
        <v>0</v>
      </c>
      <c r="V39" s="101">
        <f t="shared" si="2"/>
        <v>0</v>
      </c>
      <c r="W39" s="101">
        <f t="shared" si="2"/>
        <v>0</v>
      </c>
      <c r="X39" s="101">
        <f t="shared" si="2"/>
        <v>0</v>
      </c>
      <c r="Y39" s="101">
        <f t="shared" si="2"/>
        <v>0</v>
      </c>
      <c r="Z39" s="101">
        <f t="shared" si="2"/>
        <v>0</v>
      </c>
      <c r="AA39" s="101">
        <f t="shared" si="2"/>
        <v>18</v>
      </c>
      <c r="AB39" s="101">
        <f t="shared" si="2"/>
        <v>0</v>
      </c>
      <c r="AC39" s="101">
        <f t="shared" si="2"/>
        <v>19</v>
      </c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</row>
    <row r="40" spans="1:40" ht="19.5" customHeight="1" x14ac:dyDescent="0.2">
      <c r="A40" s="15"/>
      <c r="B40" s="15"/>
      <c r="C40" s="15"/>
      <c r="D40" s="15"/>
      <c r="E40" s="15"/>
      <c r="F40" s="15"/>
      <c r="G40" s="15"/>
      <c r="H40" s="15"/>
      <c r="I40" s="100" t="s">
        <v>96</v>
      </c>
      <c r="J40" s="105">
        <f t="shared" ref="J40:AC40" si="3">COUNTIF(J8:J27,"=0")+COUNTIF(J8:J27,"")</f>
        <v>20</v>
      </c>
      <c r="K40" s="105">
        <f t="shared" si="3"/>
        <v>3</v>
      </c>
      <c r="L40" s="105">
        <f t="shared" si="3"/>
        <v>2</v>
      </c>
      <c r="M40" s="105">
        <f t="shared" si="3"/>
        <v>20</v>
      </c>
      <c r="N40" s="105">
        <f t="shared" si="3"/>
        <v>1</v>
      </c>
      <c r="O40" s="105">
        <f t="shared" si="3"/>
        <v>20</v>
      </c>
      <c r="P40" s="105">
        <f t="shared" si="3"/>
        <v>3</v>
      </c>
      <c r="Q40" s="105">
        <f t="shared" si="3"/>
        <v>20</v>
      </c>
      <c r="R40" s="105">
        <f t="shared" si="3"/>
        <v>2</v>
      </c>
      <c r="S40" s="105">
        <f t="shared" si="3"/>
        <v>20</v>
      </c>
      <c r="T40" s="105">
        <f t="shared" si="3"/>
        <v>1</v>
      </c>
      <c r="U40" s="105">
        <f t="shared" si="3"/>
        <v>20</v>
      </c>
      <c r="V40" s="105">
        <f t="shared" si="3"/>
        <v>20</v>
      </c>
      <c r="W40" s="105">
        <f t="shared" si="3"/>
        <v>20</v>
      </c>
      <c r="X40" s="105">
        <f t="shared" si="3"/>
        <v>20</v>
      </c>
      <c r="Y40" s="105">
        <f t="shared" si="3"/>
        <v>20</v>
      </c>
      <c r="Z40" s="105">
        <f t="shared" si="3"/>
        <v>20</v>
      </c>
      <c r="AA40" s="105">
        <f t="shared" si="3"/>
        <v>2</v>
      </c>
      <c r="AB40" s="105">
        <f t="shared" si="3"/>
        <v>20</v>
      </c>
      <c r="AC40" s="105">
        <f t="shared" si="3"/>
        <v>1</v>
      </c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</row>
    <row r="41" spans="1:40" ht="19.5" customHeight="1" x14ac:dyDescent="0.2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</row>
    <row r="42" spans="1:40" ht="19.5" customHeight="1" x14ac:dyDescent="0.2">
      <c r="A42" s="15"/>
      <c r="B42" s="15"/>
      <c r="C42" s="15"/>
      <c r="D42" s="15"/>
      <c r="E42" s="15"/>
      <c r="F42" s="15"/>
      <c r="G42" s="15"/>
      <c r="H42" s="15"/>
      <c r="I42" s="100" t="s">
        <v>97</v>
      </c>
      <c r="J42" s="101">
        <f t="shared" ref="J42:AC42" si="4">IF(J39&lt;&gt;J36,1,0)</f>
        <v>1</v>
      </c>
      <c r="K42" s="101">
        <f t="shared" si="4"/>
        <v>1</v>
      </c>
      <c r="L42" s="101">
        <f t="shared" si="4"/>
        <v>1</v>
      </c>
      <c r="M42" s="101">
        <f t="shared" si="4"/>
        <v>0</v>
      </c>
      <c r="N42" s="101">
        <f t="shared" si="4"/>
        <v>1</v>
      </c>
      <c r="O42" s="101">
        <f t="shared" si="4"/>
        <v>0</v>
      </c>
      <c r="P42" s="101">
        <f t="shared" si="4"/>
        <v>1</v>
      </c>
      <c r="Q42" s="101">
        <f t="shared" si="4"/>
        <v>0</v>
      </c>
      <c r="R42" s="101">
        <f t="shared" si="4"/>
        <v>1</v>
      </c>
      <c r="S42" s="101">
        <f t="shared" si="4"/>
        <v>0</v>
      </c>
      <c r="T42" s="101">
        <f t="shared" si="4"/>
        <v>1</v>
      </c>
      <c r="U42" s="101">
        <f t="shared" si="4"/>
        <v>0</v>
      </c>
      <c r="V42" s="101">
        <f t="shared" si="4"/>
        <v>0</v>
      </c>
      <c r="W42" s="101">
        <f t="shared" si="4"/>
        <v>0</v>
      </c>
      <c r="X42" s="101">
        <f t="shared" si="4"/>
        <v>0</v>
      </c>
      <c r="Y42" s="101">
        <f t="shared" si="4"/>
        <v>0</v>
      </c>
      <c r="Z42" s="101">
        <f t="shared" si="4"/>
        <v>0</v>
      </c>
      <c r="AA42" s="101">
        <f t="shared" si="4"/>
        <v>1</v>
      </c>
      <c r="AB42" s="101">
        <f t="shared" si="4"/>
        <v>0</v>
      </c>
      <c r="AC42" s="101">
        <f t="shared" si="4"/>
        <v>1</v>
      </c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</row>
    <row r="43" spans="1:40" ht="19.5" customHeight="1" x14ac:dyDescent="0.2">
      <c r="A43" s="15"/>
      <c r="B43" s="15"/>
      <c r="C43" s="15"/>
      <c r="D43" s="15"/>
      <c r="E43" s="15"/>
      <c r="F43" s="15"/>
      <c r="G43" s="15"/>
      <c r="H43" s="15"/>
      <c r="I43" s="100" t="s">
        <v>96</v>
      </c>
      <c r="J43" s="105">
        <f t="shared" ref="J43:AC43" si="5">IF(J40&lt;&gt;J34,1,0)</f>
        <v>1</v>
      </c>
      <c r="K43" s="105">
        <f t="shared" si="5"/>
        <v>0</v>
      </c>
      <c r="L43" s="105">
        <f t="shared" si="5"/>
        <v>1</v>
      </c>
      <c r="M43" s="105">
        <f t="shared" si="5"/>
        <v>1</v>
      </c>
      <c r="N43" s="105">
        <f t="shared" si="5"/>
        <v>1</v>
      </c>
      <c r="O43" s="105">
        <f t="shared" si="5"/>
        <v>1</v>
      </c>
      <c r="P43" s="105">
        <f t="shared" si="5"/>
        <v>1</v>
      </c>
      <c r="Q43" s="105">
        <f t="shared" si="5"/>
        <v>1</v>
      </c>
      <c r="R43" s="105">
        <f t="shared" si="5"/>
        <v>1</v>
      </c>
      <c r="S43" s="105">
        <f t="shared" si="5"/>
        <v>1</v>
      </c>
      <c r="T43" s="105">
        <f t="shared" si="5"/>
        <v>1</v>
      </c>
      <c r="U43" s="105">
        <f t="shared" si="5"/>
        <v>1</v>
      </c>
      <c r="V43" s="105">
        <f t="shared" si="5"/>
        <v>1</v>
      </c>
      <c r="W43" s="105">
        <f t="shared" si="5"/>
        <v>1</v>
      </c>
      <c r="X43" s="105">
        <f t="shared" si="5"/>
        <v>1</v>
      </c>
      <c r="Y43" s="105">
        <f t="shared" si="5"/>
        <v>1</v>
      </c>
      <c r="Z43" s="105">
        <f t="shared" si="5"/>
        <v>1</v>
      </c>
      <c r="AA43" s="105">
        <f t="shared" si="5"/>
        <v>1</v>
      </c>
      <c r="AB43" s="105">
        <f t="shared" si="5"/>
        <v>1</v>
      </c>
      <c r="AC43" s="105">
        <f t="shared" si="5"/>
        <v>1</v>
      </c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</row>
    <row r="44" spans="1:40" ht="19.5" customHeight="1" x14ac:dyDescent="0.2">
      <c r="A44" s="15"/>
      <c r="B44" s="15"/>
      <c r="C44" s="15"/>
      <c r="D44" s="15"/>
      <c r="E44" s="15"/>
      <c r="F44" s="15"/>
      <c r="G44" s="15"/>
      <c r="H44" s="15"/>
      <c r="I44" s="100" t="s">
        <v>90</v>
      </c>
      <c r="J44" s="101">
        <f t="shared" ref="J44:AC44" si="6">IF(J28&lt;&gt;J7,1,0)</f>
        <v>1</v>
      </c>
      <c r="K44" s="101">
        <f t="shared" si="6"/>
        <v>1</v>
      </c>
      <c r="L44" s="101">
        <f t="shared" si="6"/>
        <v>1</v>
      </c>
      <c r="M44" s="101">
        <f t="shared" si="6"/>
        <v>1</v>
      </c>
      <c r="N44" s="101">
        <f t="shared" si="6"/>
        <v>1</v>
      </c>
      <c r="O44" s="101">
        <f t="shared" si="6"/>
        <v>1</v>
      </c>
      <c r="P44" s="101">
        <f t="shared" si="6"/>
        <v>1</v>
      </c>
      <c r="Q44" s="101">
        <f t="shared" si="6"/>
        <v>1</v>
      </c>
      <c r="R44" s="101">
        <f t="shared" si="6"/>
        <v>1</v>
      </c>
      <c r="S44" s="101">
        <f t="shared" si="6"/>
        <v>1</v>
      </c>
      <c r="T44" s="101">
        <f t="shared" si="6"/>
        <v>1</v>
      </c>
      <c r="U44" s="101">
        <f t="shared" si="6"/>
        <v>1</v>
      </c>
      <c r="V44" s="101">
        <f t="shared" si="6"/>
        <v>1</v>
      </c>
      <c r="W44" s="101">
        <f t="shared" si="6"/>
        <v>1</v>
      </c>
      <c r="X44" s="101">
        <f t="shared" si="6"/>
        <v>1</v>
      </c>
      <c r="Y44" s="101">
        <f t="shared" si="6"/>
        <v>1</v>
      </c>
      <c r="Z44" s="101">
        <f t="shared" si="6"/>
        <v>1</v>
      </c>
      <c r="AA44" s="101">
        <f t="shared" si="6"/>
        <v>1</v>
      </c>
      <c r="AB44" s="101">
        <f t="shared" si="6"/>
        <v>1</v>
      </c>
      <c r="AC44" s="101">
        <f t="shared" si="6"/>
        <v>1</v>
      </c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</row>
    <row r="45" spans="1:40" ht="19.5" customHeight="1" x14ac:dyDescent="0.2">
      <c r="A45" s="15"/>
      <c r="B45" s="15"/>
      <c r="C45" s="15"/>
      <c r="D45" s="15"/>
      <c r="E45" s="15"/>
      <c r="F45" s="15"/>
      <c r="G45" s="15" t="s">
        <v>98</v>
      </c>
      <c r="H45" s="15"/>
      <c r="I45" s="106" t="s">
        <v>99</v>
      </c>
      <c r="J45" s="107">
        <f t="shared" ref="J45:AC45" si="7">IF(J38="Sim",0,IF(SUM(J42:J44)&gt;0,1,0))</f>
        <v>0</v>
      </c>
      <c r="K45" s="107">
        <f t="shared" si="7"/>
        <v>1</v>
      </c>
      <c r="L45" s="107">
        <f t="shared" si="7"/>
        <v>0</v>
      </c>
      <c r="M45" s="107">
        <f t="shared" si="7"/>
        <v>0</v>
      </c>
      <c r="N45" s="107">
        <f t="shared" si="7"/>
        <v>0</v>
      </c>
      <c r="O45" s="107">
        <f t="shared" si="7"/>
        <v>0</v>
      </c>
      <c r="P45" s="107">
        <f t="shared" si="7"/>
        <v>0</v>
      </c>
      <c r="Q45" s="107">
        <f t="shared" si="7"/>
        <v>0</v>
      </c>
      <c r="R45" s="107">
        <f t="shared" si="7"/>
        <v>0</v>
      </c>
      <c r="S45" s="107">
        <f t="shared" si="7"/>
        <v>0</v>
      </c>
      <c r="T45" s="107">
        <f t="shared" si="7"/>
        <v>0</v>
      </c>
      <c r="U45" s="107">
        <f t="shared" si="7"/>
        <v>0</v>
      </c>
      <c r="V45" s="107">
        <f t="shared" si="7"/>
        <v>0</v>
      </c>
      <c r="W45" s="107">
        <f t="shared" si="7"/>
        <v>0</v>
      </c>
      <c r="X45" s="107">
        <f t="shared" si="7"/>
        <v>0</v>
      </c>
      <c r="Y45" s="107">
        <f t="shared" si="7"/>
        <v>0</v>
      </c>
      <c r="Z45" s="107">
        <f t="shared" si="7"/>
        <v>0</v>
      </c>
      <c r="AA45" s="107">
        <f t="shared" si="7"/>
        <v>0</v>
      </c>
      <c r="AB45" s="107">
        <f t="shared" si="7"/>
        <v>0</v>
      </c>
      <c r="AC45" s="107">
        <f t="shared" si="7"/>
        <v>0</v>
      </c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</row>
    <row r="46" spans="1:40" ht="19.5" customHeight="1" x14ac:dyDescent="0.2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</row>
    <row r="47" spans="1:40" ht="12.75" customHeight="1" x14ac:dyDescent="0.2">
      <c r="A47" s="15"/>
      <c r="B47" s="15"/>
      <c r="C47" s="15"/>
      <c r="D47" s="15"/>
      <c r="E47" s="15"/>
      <c r="F47" s="15"/>
      <c r="G47" s="15"/>
      <c r="H47" s="15"/>
      <c r="I47" s="15"/>
      <c r="J47" s="103" t="s">
        <v>100</v>
      </c>
      <c r="K47" s="103" t="s">
        <v>101</v>
      </c>
      <c r="L47" s="103" t="s">
        <v>102</v>
      </c>
      <c r="M47" s="103" t="s">
        <v>103</v>
      </c>
      <c r="N47" s="103" t="s">
        <v>104</v>
      </c>
      <c r="O47" s="103" t="s">
        <v>105</v>
      </c>
      <c r="P47" s="103" t="s">
        <v>106</v>
      </c>
      <c r="Q47" s="103" t="s">
        <v>107</v>
      </c>
      <c r="R47" s="103" t="s">
        <v>108</v>
      </c>
      <c r="S47" s="103" t="s">
        <v>109</v>
      </c>
      <c r="T47" s="103" t="s">
        <v>90</v>
      </c>
      <c r="U47" s="103" t="s">
        <v>110</v>
      </c>
      <c r="V47" s="103" t="s">
        <v>111</v>
      </c>
      <c r="W47" s="103" t="s">
        <v>112</v>
      </c>
      <c r="X47" s="103" t="s">
        <v>113</v>
      </c>
      <c r="Y47" s="103" t="s">
        <v>114</v>
      </c>
      <c r="Z47" s="103" t="s">
        <v>115</v>
      </c>
      <c r="AA47" s="103" t="s">
        <v>116</v>
      </c>
      <c r="AB47" s="103" t="s">
        <v>117</v>
      </c>
      <c r="AC47" s="103" t="s">
        <v>118</v>
      </c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</row>
    <row r="48" spans="1:40" ht="12.75" customHeight="1" x14ac:dyDescent="0.2">
      <c r="A48" s="15"/>
      <c r="B48" s="15"/>
      <c r="C48" s="15"/>
      <c r="D48" s="15"/>
      <c r="E48" s="15"/>
      <c r="F48" s="15"/>
      <c r="G48" s="15"/>
      <c r="H48" s="15"/>
      <c r="I48" s="15"/>
      <c r="J48" s="15" t="e">
        <f t="shared" ref="J48:AC48" si="8">"=SOMA("&amp;J47&amp;"8:"&amp;J47&amp;J34+7&amp;")"</f>
        <v>#VALUE!</v>
      </c>
      <c r="K48" s="15" t="str">
        <f t="shared" si="8"/>
        <v>=SOMA(K8:K10)</v>
      </c>
      <c r="L48" s="15" t="str">
        <f t="shared" si="8"/>
        <v>=SOMA(L8:L7)</v>
      </c>
      <c r="M48" s="15" t="str">
        <f t="shared" si="8"/>
        <v>=SOMA(M8:M7)</v>
      </c>
      <c r="N48" s="15" t="str">
        <f t="shared" si="8"/>
        <v>=SOMA(N8:N7)</v>
      </c>
      <c r="O48" s="15" t="str">
        <f t="shared" si="8"/>
        <v>=SOMA(O8:O7)</v>
      </c>
      <c r="P48" s="15" t="str">
        <f t="shared" si="8"/>
        <v>=SOMA(P8:P7)</v>
      </c>
      <c r="Q48" s="15" t="str">
        <f t="shared" si="8"/>
        <v>=SOMA(Q8:Q7)</v>
      </c>
      <c r="R48" s="15" t="str">
        <f t="shared" si="8"/>
        <v>=SOMA(R8:R7)</v>
      </c>
      <c r="S48" s="15" t="str">
        <f t="shared" si="8"/>
        <v>=SOMA(S8:S7)</v>
      </c>
      <c r="T48" s="15" t="str">
        <f t="shared" si="8"/>
        <v>=SOMA(T8:T7)</v>
      </c>
      <c r="U48" s="15" t="str">
        <f t="shared" si="8"/>
        <v>=SOMA(U8:U7)</v>
      </c>
      <c r="V48" s="15" t="str">
        <f t="shared" si="8"/>
        <v>=SOMA(V8:V7)</v>
      </c>
      <c r="W48" s="15" t="str">
        <f t="shared" si="8"/>
        <v>=SOMA(W8:W7)</v>
      </c>
      <c r="X48" s="15" t="str">
        <f t="shared" si="8"/>
        <v>=SOMA(X8:X7)</v>
      </c>
      <c r="Y48" s="15" t="str">
        <f t="shared" si="8"/>
        <v>=SOMA(Y8:Y7)</v>
      </c>
      <c r="Z48" s="15" t="str">
        <f t="shared" si="8"/>
        <v>=SOMA(Z8:Z7)</v>
      </c>
      <c r="AA48" s="15" t="str">
        <f t="shared" si="8"/>
        <v>=SOMA(AA8:AA7)</v>
      </c>
      <c r="AB48" s="15" t="str">
        <f t="shared" si="8"/>
        <v>=SOMA(AB8:AB7)</v>
      </c>
      <c r="AC48" s="15" t="str">
        <f t="shared" si="8"/>
        <v>=SOMA(AC8:AC7)</v>
      </c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</row>
    <row r="49" spans="1:40" ht="12.75" customHeight="1" x14ac:dyDescent="0.2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</row>
    <row r="50" spans="1:40" ht="12.75" customHeight="1" x14ac:dyDescent="0.2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</row>
    <row r="51" spans="1:40" ht="12.75" customHeight="1" x14ac:dyDescent="0.2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</row>
    <row r="52" spans="1:40" ht="12.75" customHeight="1" x14ac:dyDescent="0.2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</row>
    <row r="53" spans="1:40" ht="12.75" customHeight="1" x14ac:dyDescent="0.2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</row>
    <row r="54" spans="1:40" ht="12.75" customHeight="1" x14ac:dyDescent="0.2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</row>
    <row r="55" spans="1:40" ht="12.75" customHeight="1" x14ac:dyDescent="0.2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</row>
    <row r="56" spans="1:40" ht="12.75" customHeight="1" x14ac:dyDescent="0.2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</row>
    <row r="57" spans="1:40" ht="12.75" customHeight="1" x14ac:dyDescent="0.2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</row>
    <row r="58" spans="1:40" ht="12.75" customHeight="1" x14ac:dyDescent="0.2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</row>
    <row r="59" spans="1:40" ht="12.75" customHeight="1" x14ac:dyDescent="0.2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</row>
    <row r="60" spans="1:40" ht="12.75" customHeight="1" x14ac:dyDescent="0.2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</row>
    <row r="61" spans="1:40" ht="12.75" customHeight="1" x14ac:dyDescent="0.2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</row>
    <row r="62" spans="1:40" ht="12.75" customHeight="1" x14ac:dyDescent="0.2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</row>
    <row r="63" spans="1:40" ht="12.75" customHeight="1" x14ac:dyDescent="0.2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</row>
    <row r="64" spans="1:40" ht="12.75" customHeight="1" x14ac:dyDescent="0.2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</row>
    <row r="65" spans="1:40" ht="12.75" customHeight="1" x14ac:dyDescent="0.2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</row>
    <row r="66" spans="1:40" ht="12.75" customHeight="1" x14ac:dyDescent="0.2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</row>
    <row r="67" spans="1:40" ht="12.75" customHeight="1" x14ac:dyDescent="0.2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</row>
    <row r="68" spans="1:40" ht="12.75" customHeight="1" x14ac:dyDescent="0.2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</row>
    <row r="69" spans="1:40" ht="12.75" customHeight="1" x14ac:dyDescent="0.2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</row>
    <row r="70" spans="1:40" ht="12.75" customHeight="1" x14ac:dyDescent="0.2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</row>
    <row r="71" spans="1:40" ht="12.75" customHeight="1" x14ac:dyDescent="0.2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</row>
    <row r="72" spans="1:40" ht="12.75" customHeight="1" x14ac:dyDescent="0.2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</row>
    <row r="73" spans="1:40" ht="12.75" customHeight="1" x14ac:dyDescent="0.2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</row>
    <row r="74" spans="1:40" ht="12.75" customHeight="1" x14ac:dyDescent="0.2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</row>
    <row r="75" spans="1:40" ht="12.75" customHeight="1" x14ac:dyDescent="0.2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</row>
    <row r="76" spans="1:40" ht="12.75" customHeight="1" x14ac:dyDescent="0.2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</row>
    <row r="77" spans="1:40" ht="12.75" customHeight="1" x14ac:dyDescent="0.2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</row>
    <row r="78" spans="1:40" ht="12.75" customHeight="1" x14ac:dyDescent="0.2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</row>
    <row r="79" spans="1:40" ht="12.75" customHeight="1" x14ac:dyDescent="0.2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</row>
    <row r="80" spans="1:40" ht="12.75" customHeight="1" x14ac:dyDescent="0.2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</row>
    <row r="81" spans="1:40" ht="12.75" customHeight="1" x14ac:dyDescent="0.2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</row>
    <row r="82" spans="1:40" ht="12.75" customHeight="1" x14ac:dyDescent="0.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</row>
    <row r="83" spans="1:40" ht="12.75" customHeight="1" x14ac:dyDescent="0.2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</row>
    <row r="84" spans="1:40" ht="12.75" customHeight="1" x14ac:dyDescent="0.2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</row>
    <row r="85" spans="1:40" ht="12.75" customHeight="1" x14ac:dyDescent="0.2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</row>
    <row r="86" spans="1:40" ht="12.75" customHeight="1" x14ac:dyDescent="0.2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</row>
    <row r="87" spans="1:40" ht="12.75" customHeight="1" x14ac:dyDescent="0.2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</row>
    <row r="88" spans="1:40" ht="12.75" customHeight="1" x14ac:dyDescent="0.2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</row>
    <row r="89" spans="1:40" ht="12.75" customHeight="1" x14ac:dyDescent="0.2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</row>
    <row r="90" spans="1:40" ht="12.75" customHeight="1" x14ac:dyDescent="0.2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</row>
    <row r="91" spans="1:40" ht="12.75" customHeight="1" x14ac:dyDescent="0.2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</row>
    <row r="92" spans="1:40" ht="12.75" customHeight="1" x14ac:dyDescent="0.2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</row>
    <row r="93" spans="1:40" ht="12.75" customHeight="1" x14ac:dyDescent="0.2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</row>
    <row r="94" spans="1:40" ht="12.75" customHeight="1" x14ac:dyDescent="0.2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</row>
    <row r="95" spans="1:40" ht="12.75" customHeight="1" x14ac:dyDescent="0.2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</row>
    <row r="96" spans="1:40" ht="12.75" customHeight="1" x14ac:dyDescent="0.2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</row>
    <row r="97" spans="1:40" ht="12.75" customHeight="1" x14ac:dyDescent="0.2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</row>
    <row r="98" spans="1:40" ht="12.75" customHeight="1" x14ac:dyDescent="0.2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</row>
    <row r="99" spans="1:40" ht="12.75" customHeight="1" x14ac:dyDescent="0.2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</row>
    <row r="100" spans="1:40" ht="12.75" customHeight="1" x14ac:dyDescent="0.2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</row>
    <row r="101" spans="1:40" ht="12.75" customHeight="1" x14ac:dyDescent="0.2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</row>
    <row r="102" spans="1:40" ht="12.75" customHeight="1" x14ac:dyDescent="0.2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</row>
    <row r="103" spans="1:40" ht="12.75" customHeight="1" x14ac:dyDescent="0.2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</row>
    <row r="104" spans="1:40" ht="12.75" customHeight="1" x14ac:dyDescent="0.2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</row>
    <row r="105" spans="1:40" ht="12.75" customHeight="1" x14ac:dyDescent="0.2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</row>
    <row r="106" spans="1:40" ht="12.75" customHeight="1" x14ac:dyDescent="0.2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</row>
    <row r="107" spans="1:40" ht="12.75" customHeight="1" x14ac:dyDescent="0.2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</row>
    <row r="108" spans="1:40" ht="12.75" customHeight="1" x14ac:dyDescent="0.2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</row>
    <row r="109" spans="1:40" ht="12.75" customHeight="1" x14ac:dyDescent="0.2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</row>
    <row r="110" spans="1:40" ht="12.75" customHeight="1" x14ac:dyDescent="0.2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</row>
    <row r="111" spans="1:40" ht="12.75" customHeight="1" x14ac:dyDescent="0.2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</row>
    <row r="112" spans="1:40" ht="12.75" customHeight="1" x14ac:dyDescent="0.2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</row>
    <row r="113" spans="1:40" ht="12.75" customHeight="1" x14ac:dyDescent="0.2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</row>
    <row r="114" spans="1:40" ht="12.75" customHeight="1" x14ac:dyDescent="0.2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</row>
    <row r="115" spans="1:40" ht="12.75" customHeight="1" x14ac:dyDescent="0.2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</row>
    <row r="116" spans="1:40" ht="12.75" customHeight="1" x14ac:dyDescent="0.2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</row>
    <row r="117" spans="1:40" ht="12.75" customHeight="1" x14ac:dyDescent="0.2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</row>
    <row r="118" spans="1:40" ht="12.75" customHeight="1" x14ac:dyDescent="0.2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</row>
    <row r="119" spans="1:40" ht="12.75" customHeight="1" x14ac:dyDescent="0.2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</row>
    <row r="120" spans="1:40" ht="12.75" customHeight="1" x14ac:dyDescent="0.2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</row>
    <row r="121" spans="1:40" ht="12.75" customHeight="1" x14ac:dyDescent="0.2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</row>
    <row r="122" spans="1:40" ht="12.75" customHeight="1" x14ac:dyDescent="0.2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</row>
    <row r="123" spans="1:40" ht="12.75" customHeight="1" x14ac:dyDescent="0.2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</row>
    <row r="124" spans="1:40" ht="12.75" customHeight="1" x14ac:dyDescent="0.2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</row>
    <row r="125" spans="1:40" ht="12.75" customHeight="1" x14ac:dyDescent="0.2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</row>
    <row r="126" spans="1:40" ht="12.75" customHeight="1" x14ac:dyDescent="0.2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</row>
    <row r="127" spans="1:40" ht="12.75" customHeight="1" x14ac:dyDescent="0.2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</row>
    <row r="128" spans="1:40" ht="12.75" customHeight="1" x14ac:dyDescent="0.2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</row>
    <row r="129" spans="1:40" ht="12.75" customHeight="1" x14ac:dyDescent="0.2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</row>
    <row r="130" spans="1:40" ht="12.75" customHeight="1" x14ac:dyDescent="0.2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</row>
    <row r="131" spans="1:40" ht="12.75" customHeight="1" x14ac:dyDescent="0.2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</row>
    <row r="132" spans="1:40" ht="12.75" customHeight="1" x14ac:dyDescent="0.2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</row>
    <row r="133" spans="1:40" ht="12.75" customHeight="1" x14ac:dyDescent="0.2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</row>
    <row r="134" spans="1:40" ht="12.75" customHeight="1" x14ac:dyDescent="0.2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</row>
    <row r="135" spans="1:40" ht="12.75" customHeight="1" x14ac:dyDescent="0.2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</row>
    <row r="136" spans="1:40" ht="12.75" customHeight="1" x14ac:dyDescent="0.2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</row>
    <row r="137" spans="1:40" ht="12.75" customHeight="1" x14ac:dyDescent="0.2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</row>
    <row r="138" spans="1:40" ht="12.75" customHeight="1" x14ac:dyDescent="0.2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</row>
    <row r="139" spans="1:40" ht="12.75" customHeight="1" x14ac:dyDescent="0.2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</row>
    <row r="140" spans="1:40" ht="12.75" customHeight="1" x14ac:dyDescent="0.2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</row>
    <row r="141" spans="1:40" ht="12.75" customHeight="1" x14ac:dyDescent="0.2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</row>
    <row r="142" spans="1:40" ht="12.75" customHeight="1" x14ac:dyDescent="0.2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</row>
    <row r="143" spans="1:40" ht="12.75" customHeight="1" x14ac:dyDescent="0.2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</row>
    <row r="144" spans="1:40" ht="12.75" customHeight="1" x14ac:dyDescent="0.2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</row>
    <row r="145" spans="1:40" ht="12.75" customHeight="1" x14ac:dyDescent="0.2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</row>
    <row r="146" spans="1:40" ht="12.75" customHeight="1" x14ac:dyDescent="0.2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</row>
    <row r="147" spans="1:40" ht="12.75" customHeight="1" x14ac:dyDescent="0.2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</row>
    <row r="148" spans="1:40" ht="12.75" customHeight="1" x14ac:dyDescent="0.2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</row>
    <row r="149" spans="1:40" ht="12.75" customHeight="1" x14ac:dyDescent="0.2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</row>
    <row r="150" spans="1:40" ht="12.75" customHeight="1" x14ac:dyDescent="0.2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</row>
    <row r="151" spans="1:40" ht="12.75" customHeight="1" x14ac:dyDescent="0.2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</row>
    <row r="152" spans="1:40" ht="12.75" customHeight="1" x14ac:dyDescent="0.2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</row>
    <row r="153" spans="1:40" ht="12.75" customHeight="1" x14ac:dyDescent="0.2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</row>
    <row r="154" spans="1:40" ht="12.75" customHeight="1" x14ac:dyDescent="0.2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</row>
    <row r="155" spans="1:40" ht="12.75" customHeight="1" x14ac:dyDescent="0.2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</row>
    <row r="156" spans="1:40" ht="12.75" customHeight="1" x14ac:dyDescent="0.2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</row>
    <row r="157" spans="1:40" ht="12.75" customHeight="1" x14ac:dyDescent="0.2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</row>
    <row r="158" spans="1:40" ht="12.75" customHeight="1" x14ac:dyDescent="0.2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</row>
    <row r="159" spans="1:40" ht="12.75" customHeight="1" x14ac:dyDescent="0.2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</row>
    <row r="160" spans="1:40" ht="12.75" customHeight="1" x14ac:dyDescent="0.2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</row>
    <row r="161" spans="1:40" ht="12.7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</row>
    <row r="162" spans="1:40" ht="12.7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</row>
    <row r="163" spans="1:40" ht="12.75" customHeight="1" x14ac:dyDescent="0.2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</row>
    <row r="164" spans="1:40" ht="12.75" customHeight="1" x14ac:dyDescent="0.2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</row>
    <row r="165" spans="1:40" ht="12.75" customHeight="1" x14ac:dyDescent="0.2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</row>
    <row r="166" spans="1:40" ht="12.75" customHeight="1" x14ac:dyDescent="0.2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</row>
    <row r="167" spans="1:40" ht="12.75" customHeight="1" x14ac:dyDescent="0.2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</row>
    <row r="168" spans="1:40" ht="12.75" customHeight="1" x14ac:dyDescent="0.2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</row>
    <row r="169" spans="1:40" ht="12.75" customHeight="1" x14ac:dyDescent="0.2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</row>
    <row r="170" spans="1:40" ht="12.75" customHeight="1" x14ac:dyDescent="0.2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</row>
    <row r="171" spans="1:40" ht="12.75" customHeight="1" x14ac:dyDescent="0.2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</row>
    <row r="172" spans="1:40" ht="12.75" customHeight="1" x14ac:dyDescent="0.2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</row>
    <row r="173" spans="1:40" ht="12.75" customHeight="1" x14ac:dyDescent="0.2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</row>
    <row r="174" spans="1:40" ht="12.75" customHeight="1" x14ac:dyDescent="0.2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</row>
    <row r="175" spans="1:40" ht="12.75" customHeight="1" x14ac:dyDescent="0.2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</row>
    <row r="176" spans="1:40" ht="12.75" customHeight="1" x14ac:dyDescent="0.2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</row>
    <row r="177" spans="1:40" ht="12.75" customHeight="1" x14ac:dyDescent="0.2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</row>
    <row r="178" spans="1:40" ht="12.75" customHeight="1" x14ac:dyDescent="0.2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</row>
    <row r="179" spans="1:40" ht="12.75" customHeight="1" x14ac:dyDescent="0.2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</row>
    <row r="180" spans="1:40" ht="12.75" customHeight="1" x14ac:dyDescent="0.2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</row>
    <row r="181" spans="1:40" ht="12.75" customHeight="1" x14ac:dyDescent="0.2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</row>
    <row r="182" spans="1:40" ht="12.75" customHeight="1" x14ac:dyDescent="0.2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</row>
    <row r="183" spans="1:40" ht="12.75" customHeight="1" x14ac:dyDescent="0.2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</row>
    <row r="184" spans="1:40" ht="12.75" customHeight="1" x14ac:dyDescent="0.2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</row>
    <row r="185" spans="1:40" ht="12.75" customHeight="1" x14ac:dyDescent="0.2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</row>
    <row r="186" spans="1:40" ht="12.7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</row>
    <row r="187" spans="1:40" ht="12.75" customHeight="1" x14ac:dyDescent="0.2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</row>
    <row r="188" spans="1:40" ht="12.75" customHeight="1" x14ac:dyDescent="0.2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</row>
    <row r="189" spans="1:40" ht="12.75" customHeight="1" x14ac:dyDescent="0.2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</row>
    <row r="190" spans="1:40" ht="12.75" customHeight="1" x14ac:dyDescent="0.2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</row>
    <row r="191" spans="1:40" ht="12.75" customHeight="1" x14ac:dyDescent="0.2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</row>
    <row r="192" spans="1:40" ht="12.75" customHeight="1" x14ac:dyDescent="0.2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</row>
    <row r="193" spans="1:40" ht="12.75" customHeight="1" x14ac:dyDescent="0.2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</row>
    <row r="194" spans="1:40" ht="12.75" customHeight="1" x14ac:dyDescent="0.2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</row>
    <row r="195" spans="1:40" ht="12.75" customHeight="1" x14ac:dyDescent="0.2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</row>
    <row r="196" spans="1:40" ht="12.75" customHeight="1" x14ac:dyDescent="0.2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</row>
    <row r="197" spans="1:40" ht="12.75" customHeight="1" x14ac:dyDescent="0.2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</row>
    <row r="198" spans="1:40" ht="12.75" customHeight="1" x14ac:dyDescent="0.2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</row>
    <row r="199" spans="1:40" ht="12.75" customHeight="1" x14ac:dyDescent="0.2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</row>
    <row r="200" spans="1:40" ht="12.75" customHeight="1" x14ac:dyDescent="0.2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</row>
    <row r="201" spans="1:40" ht="12.75" customHeight="1" x14ac:dyDescent="0.2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</row>
    <row r="202" spans="1:40" ht="12.75" customHeight="1" x14ac:dyDescent="0.2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</row>
    <row r="203" spans="1:40" ht="12.75" customHeight="1" x14ac:dyDescent="0.2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</row>
    <row r="204" spans="1:40" ht="12.75" customHeight="1" x14ac:dyDescent="0.2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</row>
    <row r="205" spans="1:40" ht="12.75" customHeight="1" x14ac:dyDescent="0.2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</row>
    <row r="206" spans="1:40" ht="12.75" customHeight="1" x14ac:dyDescent="0.2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</row>
    <row r="207" spans="1:40" ht="12.75" customHeight="1" x14ac:dyDescent="0.2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</row>
    <row r="208" spans="1:40" ht="12.75" customHeight="1" x14ac:dyDescent="0.2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</row>
    <row r="209" spans="1:40" ht="12.75" customHeight="1" x14ac:dyDescent="0.2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</row>
    <row r="210" spans="1:40" ht="12.75" customHeight="1" x14ac:dyDescent="0.2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</row>
    <row r="211" spans="1:40" ht="12.75" customHeight="1" x14ac:dyDescent="0.2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</row>
    <row r="212" spans="1:40" ht="12.75" customHeight="1" x14ac:dyDescent="0.2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</row>
    <row r="213" spans="1:40" ht="12.75" customHeight="1" x14ac:dyDescent="0.2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</row>
    <row r="214" spans="1:40" ht="12.75" customHeight="1" x14ac:dyDescent="0.2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</row>
    <row r="215" spans="1:40" ht="12.75" customHeight="1" x14ac:dyDescent="0.2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</row>
    <row r="216" spans="1:40" ht="12.75" customHeight="1" x14ac:dyDescent="0.2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</row>
    <row r="217" spans="1:40" ht="12.75" customHeight="1" x14ac:dyDescent="0.2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</row>
    <row r="218" spans="1:40" ht="12.7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</row>
    <row r="219" spans="1:40" ht="12.75" customHeight="1" x14ac:dyDescent="0.2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</row>
    <row r="220" spans="1:40" ht="12.75" customHeight="1" x14ac:dyDescent="0.2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</row>
    <row r="221" spans="1:40" ht="12.75" customHeight="1" x14ac:dyDescent="0.2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</row>
    <row r="222" spans="1:40" ht="12.75" customHeight="1" x14ac:dyDescent="0.2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</row>
    <row r="223" spans="1:40" ht="12.75" customHeight="1" x14ac:dyDescent="0.2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</row>
    <row r="224" spans="1:40" ht="12.75" customHeight="1" x14ac:dyDescent="0.2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</row>
    <row r="225" spans="1:40" ht="12.75" customHeight="1" x14ac:dyDescent="0.2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</row>
    <row r="226" spans="1:40" ht="12.75" customHeight="1" x14ac:dyDescent="0.2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</row>
    <row r="227" spans="1:40" ht="12.75" customHeight="1" x14ac:dyDescent="0.2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</row>
    <row r="228" spans="1:40" ht="12.75" customHeight="1" x14ac:dyDescent="0.2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</row>
    <row r="229" spans="1:40" ht="12.75" customHeight="1" x14ac:dyDescent="0.2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</row>
    <row r="230" spans="1:40" ht="12.75" customHeight="1" x14ac:dyDescent="0.2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</row>
    <row r="231" spans="1:40" ht="12.75" customHeight="1" x14ac:dyDescent="0.2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</row>
    <row r="232" spans="1:40" ht="12.75" customHeight="1" x14ac:dyDescent="0.2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</row>
    <row r="233" spans="1:40" ht="12.75" customHeight="1" x14ac:dyDescent="0.2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</row>
    <row r="234" spans="1:40" ht="12.7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</row>
    <row r="235" spans="1:40" ht="12.75" customHeight="1" x14ac:dyDescent="0.2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</row>
    <row r="236" spans="1:40" ht="12.75" customHeight="1" x14ac:dyDescent="0.2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</row>
    <row r="237" spans="1:40" ht="12.75" customHeight="1" x14ac:dyDescent="0.2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</row>
    <row r="238" spans="1:40" ht="12.75" customHeight="1" x14ac:dyDescent="0.2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</row>
    <row r="239" spans="1:40" ht="12.75" customHeight="1" x14ac:dyDescent="0.2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</row>
    <row r="240" spans="1:40" ht="12.75" customHeight="1" x14ac:dyDescent="0.2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</row>
    <row r="241" spans="1:40" ht="12.75" customHeight="1" x14ac:dyDescent="0.2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</row>
    <row r="242" spans="1:40" ht="12.75" customHeight="1" x14ac:dyDescent="0.2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</row>
    <row r="243" spans="1:40" ht="12.75" customHeight="1" x14ac:dyDescent="0.2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</row>
    <row r="244" spans="1:40" ht="12.75" customHeight="1" x14ac:dyDescent="0.2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</row>
    <row r="245" spans="1:40" ht="12.75" customHeight="1" x14ac:dyDescent="0.2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</row>
    <row r="246" spans="1:40" ht="12.75" customHeight="1" x14ac:dyDescent="0.2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</row>
    <row r="247" spans="1:40" ht="12.75" customHeight="1" x14ac:dyDescent="0.2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</row>
    <row r="248" spans="1:40" ht="12.75" customHeight="1" x14ac:dyDescent="0.2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</row>
    <row r="249" spans="1:40" ht="12.75" customHeight="1" x14ac:dyDescent="0.2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</row>
    <row r="250" spans="1:40" ht="12.7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</row>
    <row r="251" spans="1:40" ht="12.75" customHeight="1" x14ac:dyDescent="0.2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</row>
    <row r="252" spans="1:40" ht="12.75" customHeight="1" x14ac:dyDescent="0.2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</row>
    <row r="253" spans="1:40" ht="12.75" customHeight="1" x14ac:dyDescent="0.2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</row>
    <row r="254" spans="1:40" ht="12.75" customHeight="1" x14ac:dyDescent="0.2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</row>
    <row r="255" spans="1:40" ht="12.75" customHeight="1" x14ac:dyDescent="0.2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</row>
    <row r="256" spans="1:40" ht="12.75" customHeight="1" x14ac:dyDescent="0.2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</row>
    <row r="257" spans="1:40" ht="12.75" customHeight="1" x14ac:dyDescent="0.2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</row>
    <row r="258" spans="1:40" ht="12.75" customHeight="1" x14ac:dyDescent="0.2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</row>
    <row r="259" spans="1:40" ht="12.75" customHeight="1" x14ac:dyDescent="0.2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</row>
    <row r="260" spans="1:40" ht="12.75" customHeight="1" x14ac:dyDescent="0.2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</row>
    <row r="261" spans="1:40" ht="12.75" customHeight="1" x14ac:dyDescent="0.2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</row>
    <row r="262" spans="1:40" ht="12.75" customHeight="1" x14ac:dyDescent="0.2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</row>
    <row r="263" spans="1:40" ht="12.75" customHeight="1" x14ac:dyDescent="0.2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</row>
    <row r="264" spans="1:40" ht="12.75" customHeight="1" x14ac:dyDescent="0.2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</row>
    <row r="265" spans="1:40" ht="12.75" customHeight="1" x14ac:dyDescent="0.2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</row>
    <row r="266" spans="1:40" ht="12.75" customHeight="1" x14ac:dyDescent="0.2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</row>
    <row r="267" spans="1:40" ht="12.75" customHeight="1" x14ac:dyDescent="0.2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</row>
    <row r="268" spans="1:40" ht="12.75" customHeight="1" x14ac:dyDescent="0.2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</row>
    <row r="269" spans="1:40" ht="12.75" customHeight="1" x14ac:dyDescent="0.2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</row>
    <row r="270" spans="1:40" ht="12.75" customHeight="1" x14ac:dyDescent="0.2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</row>
    <row r="271" spans="1:40" ht="12.75" customHeight="1" x14ac:dyDescent="0.2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</row>
    <row r="272" spans="1:40" ht="12.75" customHeight="1" x14ac:dyDescent="0.2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</row>
    <row r="273" spans="1:40" ht="12.75" customHeight="1" x14ac:dyDescent="0.2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</row>
    <row r="274" spans="1:40" ht="12.75" customHeight="1" x14ac:dyDescent="0.2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</row>
    <row r="275" spans="1:40" ht="12.75" customHeight="1" x14ac:dyDescent="0.2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</row>
    <row r="276" spans="1:40" ht="12.75" customHeight="1" x14ac:dyDescent="0.2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</row>
    <row r="277" spans="1:40" ht="12.75" customHeight="1" x14ac:dyDescent="0.2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</row>
    <row r="278" spans="1:40" ht="12.75" customHeight="1" x14ac:dyDescent="0.2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</row>
    <row r="279" spans="1:40" ht="12.75" customHeight="1" x14ac:dyDescent="0.2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</row>
    <row r="280" spans="1:40" ht="12.75" customHeight="1" x14ac:dyDescent="0.2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</row>
    <row r="281" spans="1:40" ht="12.7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</row>
    <row r="282" spans="1:40" ht="12.7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</row>
    <row r="283" spans="1:40" ht="12.7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</row>
    <row r="284" spans="1:40" ht="12.7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</row>
    <row r="285" spans="1:40" ht="12.75" customHeight="1" x14ac:dyDescent="0.2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</row>
    <row r="286" spans="1:40" ht="12.75" customHeight="1" x14ac:dyDescent="0.2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</row>
    <row r="287" spans="1:40" ht="12.75" customHeight="1" x14ac:dyDescent="0.2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</row>
    <row r="288" spans="1:40" ht="12.75" customHeight="1" x14ac:dyDescent="0.2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</row>
    <row r="289" spans="1:40" ht="12.75" customHeight="1" x14ac:dyDescent="0.2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</row>
    <row r="290" spans="1:40" ht="12.75" customHeight="1" x14ac:dyDescent="0.2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</row>
    <row r="291" spans="1:40" ht="12.7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</row>
    <row r="292" spans="1:40" ht="12.7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</row>
    <row r="293" spans="1:40" ht="12.75" customHeight="1" x14ac:dyDescent="0.2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</row>
    <row r="294" spans="1:40" ht="12.75" customHeight="1" x14ac:dyDescent="0.2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</row>
    <row r="295" spans="1:40" ht="12.75" customHeight="1" x14ac:dyDescent="0.2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</row>
    <row r="296" spans="1:40" ht="12.75" customHeight="1" x14ac:dyDescent="0.2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</row>
    <row r="297" spans="1:40" ht="12.75" customHeight="1" x14ac:dyDescent="0.2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</row>
    <row r="298" spans="1:40" ht="12.75" customHeight="1" x14ac:dyDescent="0.2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</row>
    <row r="299" spans="1:40" ht="12.75" customHeight="1" x14ac:dyDescent="0.2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</row>
    <row r="300" spans="1:40" ht="12.75" customHeight="1" x14ac:dyDescent="0.2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</row>
    <row r="301" spans="1:40" ht="12.75" customHeight="1" x14ac:dyDescent="0.2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</row>
    <row r="302" spans="1:40" ht="12.75" customHeight="1" x14ac:dyDescent="0.2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</row>
    <row r="303" spans="1:40" ht="12.75" customHeight="1" x14ac:dyDescent="0.2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</row>
    <row r="304" spans="1:40" ht="12.75" customHeight="1" x14ac:dyDescent="0.2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</row>
    <row r="305" spans="1:40" ht="12.75" customHeight="1" x14ac:dyDescent="0.2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</row>
    <row r="306" spans="1:40" ht="12.75" customHeight="1" x14ac:dyDescent="0.2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</row>
    <row r="307" spans="1:40" ht="12.75" customHeight="1" x14ac:dyDescent="0.2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</row>
    <row r="308" spans="1:40" ht="12.75" customHeight="1" x14ac:dyDescent="0.2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</row>
    <row r="309" spans="1:40" ht="12.75" customHeight="1" x14ac:dyDescent="0.2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</row>
    <row r="310" spans="1:40" ht="12.75" customHeight="1" x14ac:dyDescent="0.2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</row>
    <row r="311" spans="1:40" ht="12.75" customHeight="1" x14ac:dyDescent="0.2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</row>
    <row r="312" spans="1:40" ht="12.75" customHeight="1" x14ac:dyDescent="0.2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</row>
    <row r="313" spans="1:40" ht="12.75" customHeight="1" x14ac:dyDescent="0.2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</row>
    <row r="314" spans="1:40" ht="12.75" customHeight="1" x14ac:dyDescent="0.2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</row>
    <row r="315" spans="1:40" ht="12.75" customHeight="1" x14ac:dyDescent="0.2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</row>
    <row r="316" spans="1:40" ht="12.75" customHeight="1" x14ac:dyDescent="0.2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</row>
    <row r="317" spans="1:40" ht="12.75" customHeight="1" x14ac:dyDescent="0.2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</row>
    <row r="318" spans="1:40" ht="12.75" customHeight="1" x14ac:dyDescent="0.2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</row>
    <row r="319" spans="1:40" ht="12.75" customHeight="1" x14ac:dyDescent="0.2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</row>
    <row r="320" spans="1:40" ht="12.75" customHeight="1" x14ac:dyDescent="0.2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</row>
    <row r="321" spans="1:40" ht="12.75" customHeight="1" x14ac:dyDescent="0.2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</row>
    <row r="322" spans="1:40" ht="12.75" customHeight="1" x14ac:dyDescent="0.2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</row>
    <row r="323" spans="1:40" ht="12.75" customHeight="1" x14ac:dyDescent="0.2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</row>
    <row r="324" spans="1:40" ht="12.75" customHeight="1" x14ac:dyDescent="0.2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</row>
    <row r="325" spans="1:40" ht="12.75" customHeight="1" x14ac:dyDescent="0.2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</row>
    <row r="326" spans="1:40" ht="12.75" customHeight="1" x14ac:dyDescent="0.2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</row>
    <row r="327" spans="1:40" ht="12.75" customHeight="1" x14ac:dyDescent="0.2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</row>
    <row r="328" spans="1:40" ht="12.75" customHeight="1" x14ac:dyDescent="0.2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</row>
    <row r="329" spans="1:40" ht="12.75" customHeight="1" x14ac:dyDescent="0.2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</row>
    <row r="330" spans="1:40" ht="12.75" customHeight="1" x14ac:dyDescent="0.2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</row>
    <row r="331" spans="1:40" ht="12.75" customHeight="1" x14ac:dyDescent="0.2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</row>
    <row r="332" spans="1:40" ht="12.75" customHeight="1" x14ac:dyDescent="0.2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</row>
    <row r="333" spans="1:40" ht="12.75" customHeight="1" x14ac:dyDescent="0.2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</row>
    <row r="334" spans="1:40" ht="12.75" customHeight="1" x14ac:dyDescent="0.2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</row>
    <row r="335" spans="1:40" ht="12.75" customHeight="1" x14ac:dyDescent="0.2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</row>
    <row r="336" spans="1:40" ht="12.75" customHeight="1" x14ac:dyDescent="0.2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</row>
    <row r="337" spans="1:40" ht="12.75" customHeight="1" x14ac:dyDescent="0.2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</row>
    <row r="338" spans="1:40" ht="12.75" customHeight="1" x14ac:dyDescent="0.2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</row>
    <row r="339" spans="1:40" ht="12.75" customHeight="1" x14ac:dyDescent="0.2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</row>
    <row r="340" spans="1:40" ht="12.75" customHeight="1" x14ac:dyDescent="0.2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</row>
    <row r="341" spans="1:40" ht="12.75" customHeight="1" x14ac:dyDescent="0.2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</row>
    <row r="342" spans="1:40" ht="12.75" customHeight="1" x14ac:dyDescent="0.2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</row>
    <row r="343" spans="1:40" ht="12.75" customHeight="1" x14ac:dyDescent="0.2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</row>
    <row r="344" spans="1:40" ht="12.75" customHeight="1" x14ac:dyDescent="0.2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</row>
    <row r="345" spans="1:40" ht="12.75" customHeight="1" x14ac:dyDescent="0.2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</row>
    <row r="346" spans="1:40" ht="12.75" customHeight="1" x14ac:dyDescent="0.2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</row>
    <row r="347" spans="1:40" ht="12.75" customHeight="1" x14ac:dyDescent="0.2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</row>
    <row r="348" spans="1:40" ht="12.75" customHeight="1" x14ac:dyDescent="0.2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</row>
    <row r="349" spans="1:40" ht="12.75" customHeight="1" x14ac:dyDescent="0.2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</row>
    <row r="350" spans="1:40" ht="12.75" customHeight="1" x14ac:dyDescent="0.2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</row>
    <row r="351" spans="1:40" ht="12.75" customHeight="1" x14ac:dyDescent="0.2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</row>
    <row r="352" spans="1:40" ht="12.75" customHeight="1" x14ac:dyDescent="0.2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</row>
    <row r="353" spans="1:40" ht="12.75" customHeight="1" x14ac:dyDescent="0.2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</row>
    <row r="354" spans="1:40" ht="12.75" customHeight="1" x14ac:dyDescent="0.2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</row>
    <row r="355" spans="1:40" ht="12.75" customHeight="1" x14ac:dyDescent="0.2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</row>
    <row r="356" spans="1:40" ht="12.75" customHeight="1" x14ac:dyDescent="0.2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</row>
    <row r="357" spans="1:40" ht="12.75" customHeight="1" x14ac:dyDescent="0.2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</row>
    <row r="358" spans="1:40" ht="12.75" customHeight="1" x14ac:dyDescent="0.2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</row>
    <row r="359" spans="1:40" ht="12.75" customHeight="1" x14ac:dyDescent="0.2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</row>
    <row r="360" spans="1:40" ht="12.75" customHeight="1" x14ac:dyDescent="0.2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</row>
    <row r="361" spans="1:40" ht="12.75" customHeight="1" x14ac:dyDescent="0.2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</row>
    <row r="362" spans="1:40" ht="12.75" customHeight="1" x14ac:dyDescent="0.2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</row>
    <row r="363" spans="1:40" ht="12.75" customHeight="1" x14ac:dyDescent="0.2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</row>
    <row r="364" spans="1:40" ht="12.75" customHeight="1" x14ac:dyDescent="0.2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</row>
    <row r="365" spans="1:40" ht="12.75" customHeight="1" x14ac:dyDescent="0.2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</row>
    <row r="366" spans="1:40" ht="12.75" customHeight="1" x14ac:dyDescent="0.2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</row>
    <row r="367" spans="1:40" ht="12.75" customHeight="1" x14ac:dyDescent="0.2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</row>
    <row r="368" spans="1:40" ht="12.75" customHeight="1" x14ac:dyDescent="0.2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</row>
    <row r="369" spans="1:40" ht="12.75" customHeight="1" x14ac:dyDescent="0.2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</row>
    <row r="370" spans="1:40" ht="12.75" customHeight="1" x14ac:dyDescent="0.2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</row>
    <row r="371" spans="1:40" ht="12.75" customHeight="1" x14ac:dyDescent="0.2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</row>
    <row r="372" spans="1:40" ht="12.75" customHeight="1" x14ac:dyDescent="0.2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</row>
    <row r="373" spans="1:40" ht="12.75" customHeight="1" x14ac:dyDescent="0.2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</row>
    <row r="374" spans="1:40" ht="12.75" customHeight="1" x14ac:dyDescent="0.2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</row>
    <row r="375" spans="1:40" ht="12.75" customHeight="1" x14ac:dyDescent="0.2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</row>
    <row r="376" spans="1:40" ht="12.75" customHeight="1" x14ac:dyDescent="0.2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</row>
    <row r="377" spans="1:40" ht="12.75" customHeight="1" x14ac:dyDescent="0.2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</row>
    <row r="378" spans="1:40" ht="12.75" customHeight="1" x14ac:dyDescent="0.2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</row>
    <row r="379" spans="1:40" ht="12.75" customHeight="1" x14ac:dyDescent="0.2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</row>
    <row r="380" spans="1:40" ht="12.75" customHeight="1" x14ac:dyDescent="0.2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</row>
    <row r="381" spans="1:40" ht="12.75" customHeight="1" x14ac:dyDescent="0.2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</row>
    <row r="382" spans="1:40" ht="12.75" customHeight="1" x14ac:dyDescent="0.2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</row>
    <row r="383" spans="1:40" ht="12.75" customHeight="1" x14ac:dyDescent="0.2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</row>
    <row r="384" spans="1:40" ht="12.75" customHeight="1" x14ac:dyDescent="0.2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</row>
    <row r="385" spans="1:40" ht="12.75" customHeight="1" x14ac:dyDescent="0.2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</row>
    <row r="386" spans="1:40" ht="12.75" customHeight="1" x14ac:dyDescent="0.2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</row>
    <row r="387" spans="1:40" ht="12.75" customHeight="1" x14ac:dyDescent="0.2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</row>
    <row r="388" spans="1:40" ht="12.75" customHeight="1" x14ac:dyDescent="0.2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</row>
    <row r="389" spans="1:40" ht="12.75" customHeight="1" x14ac:dyDescent="0.2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</row>
    <row r="390" spans="1:40" ht="12.75" customHeight="1" x14ac:dyDescent="0.2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</row>
    <row r="391" spans="1:40" ht="12.75" customHeight="1" x14ac:dyDescent="0.2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</row>
    <row r="392" spans="1:40" ht="12.75" customHeight="1" x14ac:dyDescent="0.2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</row>
    <row r="393" spans="1:40" ht="12.75" customHeight="1" x14ac:dyDescent="0.2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</row>
    <row r="394" spans="1:40" ht="12.75" customHeight="1" x14ac:dyDescent="0.2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</row>
    <row r="395" spans="1:40" ht="12.75" customHeight="1" x14ac:dyDescent="0.2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</row>
    <row r="396" spans="1:40" ht="12.75" customHeight="1" x14ac:dyDescent="0.2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</row>
    <row r="397" spans="1:40" ht="12.75" customHeight="1" x14ac:dyDescent="0.2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</row>
    <row r="398" spans="1:40" ht="12.75" customHeight="1" x14ac:dyDescent="0.2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</row>
    <row r="399" spans="1:40" ht="12.75" customHeight="1" x14ac:dyDescent="0.2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</row>
    <row r="400" spans="1:40" ht="12.75" customHeight="1" x14ac:dyDescent="0.2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</row>
    <row r="401" spans="1:40" ht="12.75" customHeight="1" x14ac:dyDescent="0.2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</row>
    <row r="402" spans="1:40" ht="12.75" customHeight="1" x14ac:dyDescent="0.2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</row>
    <row r="403" spans="1:40" ht="12.75" customHeight="1" x14ac:dyDescent="0.2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</row>
    <row r="404" spans="1:40" ht="12.75" customHeight="1" x14ac:dyDescent="0.2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</row>
    <row r="405" spans="1:40" ht="12.75" customHeight="1" x14ac:dyDescent="0.2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</row>
    <row r="406" spans="1:40" ht="12.75" customHeight="1" x14ac:dyDescent="0.2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</row>
    <row r="407" spans="1:40" ht="12.75" customHeight="1" x14ac:dyDescent="0.2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</row>
    <row r="408" spans="1:40" ht="12.75" customHeight="1" x14ac:dyDescent="0.2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</row>
    <row r="409" spans="1:40" ht="12.75" customHeight="1" x14ac:dyDescent="0.2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</row>
    <row r="410" spans="1:40" ht="12.75" customHeight="1" x14ac:dyDescent="0.2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</row>
    <row r="411" spans="1:40" ht="12.75" customHeight="1" x14ac:dyDescent="0.2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</row>
    <row r="412" spans="1:40" ht="12.75" customHeight="1" x14ac:dyDescent="0.2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</row>
    <row r="413" spans="1:40" ht="12.75" customHeight="1" x14ac:dyDescent="0.2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</row>
    <row r="414" spans="1:40" ht="12.75" customHeight="1" x14ac:dyDescent="0.2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</row>
    <row r="415" spans="1:40" ht="12.75" customHeight="1" x14ac:dyDescent="0.2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</row>
    <row r="416" spans="1:40" ht="12.75" customHeight="1" x14ac:dyDescent="0.2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</row>
    <row r="417" spans="1:40" ht="12.75" customHeight="1" x14ac:dyDescent="0.2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</row>
    <row r="418" spans="1:40" ht="12.75" customHeight="1" x14ac:dyDescent="0.2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</row>
    <row r="419" spans="1:40" ht="12.75" customHeight="1" x14ac:dyDescent="0.2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</row>
    <row r="420" spans="1:40" ht="12.75" customHeight="1" x14ac:dyDescent="0.2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</row>
    <row r="421" spans="1:40" ht="12.75" customHeight="1" x14ac:dyDescent="0.2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</row>
    <row r="422" spans="1:40" ht="12.75" customHeight="1" x14ac:dyDescent="0.2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</row>
    <row r="423" spans="1:40" ht="12.75" customHeight="1" x14ac:dyDescent="0.2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</row>
    <row r="424" spans="1:40" ht="12.75" customHeight="1" x14ac:dyDescent="0.2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</row>
    <row r="425" spans="1:40" ht="12.75" customHeight="1" x14ac:dyDescent="0.2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</row>
    <row r="426" spans="1:40" ht="12.75" customHeight="1" x14ac:dyDescent="0.2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</row>
    <row r="427" spans="1:40" ht="12.75" customHeight="1" x14ac:dyDescent="0.2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</row>
    <row r="428" spans="1:40" ht="12.75" customHeight="1" x14ac:dyDescent="0.2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</row>
    <row r="429" spans="1:40" ht="12.75" customHeight="1" x14ac:dyDescent="0.2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</row>
    <row r="430" spans="1:40" ht="12.75" customHeight="1" x14ac:dyDescent="0.2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</row>
    <row r="431" spans="1:40" ht="12.75" customHeight="1" x14ac:dyDescent="0.2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</row>
    <row r="432" spans="1:40" ht="12.75" customHeight="1" x14ac:dyDescent="0.2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</row>
    <row r="433" spans="1:40" ht="12.75" customHeight="1" x14ac:dyDescent="0.2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</row>
    <row r="434" spans="1:40" ht="12.75" customHeight="1" x14ac:dyDescent="0.2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</row>
    <row r="435" spans="1:40" ht="12.75" customHeight="1" x14ac:dyDescent="0.2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</row>
    <row r="436" spans="1:40" ht="12.75" customHeight="1" x14ac:dyDescent="0.2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</row>
    <row r="437" spans="1:40" ht="12.75" customHeight="1" x14ac:dyDescent="0.2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</row>
    <row r="438" spans="1:40" ht="12.75" customHeight="1" x14ac:dyDescent="0.2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</row>
    <row r="439" spans="1:40" ht="12.75" customHeight="1" x14ac:dyDescent="0.2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</row>
    <row r="440" spans="1:40" ht="12.75" customHeight="1" x14ac:dyDescent="0.2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</row>
    <row r="441" spans="1:40" ht="12.75" customHeight="1" x14ac:dyDescent="0.2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</row>
    <row r="442" spans="1:40" ht="12.75" customHeight="1" x14ac:dyDescent="0.2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</row>
    <row r="443" spans="1:40" ht="12.75" customHeight="1" x14ac:dyDescent="0.2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</row>
    <row r="444" spans="1:40" ht="12.75" customHeight="1" x14ac:dyDescent="0.2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</row>
    <row r="445" spans="1:40" ht="12.75" customHeight="1" x14ac:dyDescent="0.2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</row>
    <row r="446" spans="1:40" ht="12.75" customHeight="1" x14ac:dyDescent="0.2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</row>
    <row r="447" spans="1:40" ht="12.75" customHeight="1" x14ac:dyDescent="0.2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</row>
    <row r="448" spans="1:40" ht="12.75" customHeight="1" x14ac:dyDescent="0.2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</row>
    <row r="449" spans="1:40" ht="12.75" customHeight="1" x14ac:dyDescent="0.2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</row>
    <row r="450" spans="1:40" ht="12.75" customHeight="1" x14ac:dyDescent="0.2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</row>
    <row r="451" spans="1:40" ht="12.75" customHeight="1" x14ac:dyDescent="0.2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  <c r="AM451" s="62"/>
      <c r="AN451" s="62"/>
    </row>
    <row r="452" spans="1:40" ht="12.75" customHeight="1" x14ac:dyDescent="0.2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  <c r="AM452" s="62"/>
      <c r="AN452" s="62"/>
    </row>
    <row r="453" spans="1:40" ht="12.75" customHeight="1" x14ac:dyDescent="0.2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</row>
    <row r="454" spans="1:40" ht="12.75" customHeight="1" x14ac:dyDescent="0.2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</row>
    <row r="455" spans="1:40" ht="12.75" customHeight="1" x14ac:dyDescent="0.2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</row>
    <row r="456" spans="1:40" ht="12.75" customHeight="1" x14ac:dyDescent="0.2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  <c r="AM456" s="62"/>
      <c r="AN456" s="62"/>
    </row>
    <row r="457" spans="1:40" ht="12.75" customHeight="1" x14ac:dyDescent="0.2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</row>
    <row r="458" spans="1:40" ht="12.75" customHeight="1" x14ac:dyDescent="0.2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</row>
    <row r="459" spans="1:40" ht="12.75" customHeight="1" x14ac:dyDescent="0.2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</row>
    <row r="460" spans="1:40" ht="12.75" customHeight="1" x14ac:dyDescent="0.2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</row>
    <row r="461" spans="1:40" ht="12.75" customHeight="1" x14ac:dyDescent="0.2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</row>
    <row r="462" spans="1:40" ht="12.75" customHeight="1" x14ac:dyDescent="0.2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  <c r="AM462" s="62"/>
      <c r="AN462" s="62"/>
    </row>
    <row r="463" spans="1:40" ht="12.75" customHeight="1" x14ac:dyDescent="0.2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  <c r="AM463" s="62"/>
      <c r="AN463" s="62"/>
    </row>
    <row r="464" spans="1:40" ht="12.75" customHeight="1" x14ac:dyDescent="0.2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</row>
    <row r="465" spans="1:40" ht="12.75" customHeight="1" x14ac:dyDescent="0.2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  <c r="AM465" s="62"/>
      <c r="AN465" s="62"/>
    </row>
    <row r="466" spans="1:40" ht="12.75" customHeight="1" x14ac:dyDescent="0.2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</row>
    <row r="467" spans="1:40" ht="12.75" customHeight="1" x14ac:dyDescent="0.2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</row>
    <row r="468" spans="1:40" ht="12.75" customHeight="1" x14ac:dyDescent="0.2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</row>
    <row r="469" spans="1:40" ht="12.75" customHeight="1" x14ac:dyDescent="0.2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</row>
    <row r="470" spans="1:40" ht="12.75" customHeight="1" x14ac:dyDescent="0.2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</row>
    <row r="471" spans="1:40" ht="12.75" customHeight="1" x14ac:dyDescent="0.2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  <c r="AM471" s="62"/>
      <c r="AN471" s="62"/>
    </row>
    <row r="472" spans="1:40" ht="12.75" customHeight="1" x14ac:dyDescent="0.2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  <c r="AM472" s="62"/>
      <c r="AN472" s="62"/>
    </row>
    <row r="473" spans="1:40" ht="12.75" customHeight="1" x14ac:dyDescent="0.2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</row>
    <row r="474" spans="1:40" ht="12.75" customHeight="1" x14ac:dyDescent="0.2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  <c r="AM474" s="62"/>
      <c r="AN474" s="62"/>
    </row>
    <row r="475" spans="1:40" ht="12.75" customHeight="1" x14ac:dyDescent="0.2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  <c r="AM475" s="62"/>
      <c r="AN475" s="62"/>
    </row>
    <row r="476" spans="1:40" ht="12.75" customHeight="1" x14ac:dyDescent="0.2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</row>
    <row r="477" spans="1:40" ht="12.75" customHeight="1" x14ac:dyDescent="0.2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</row>
    <row r="478" spans="1:40" ht="12.75" customHeight="1" x14ac:dyDescent="0.2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</row>
    <row r="479" spans="1:40" ht="12.75" customHeight="1" x14ac:dyDescent="0.2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</row>
    <row r="480" spans="1:40" ht="12.75" customHeight="1" x14ac:dyDescent="0.2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</row>
    <row r="481" spans="1:40" ht="12.75" customHeight="1" x14ac:dyDescent="0.2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</row>
    <row r="482" spans="1:40" ht="12.75" customHeight="1" x14ac:dyDescent="0.2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</row>
    <row r="483" spans="1:40" ht="12.75" customHeight="1" x14ac:dyDescent="0.2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</row>
    <row r="484" spans="1:40" ht="12.75" customHeight="1" x14ac:dyDescent="0.2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</row>
    <row r="485" spans="1:40" ht="12.75" customHeight="1" x14ac:dyDescent="0.2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</row>
    <row r="486" spans="1:40" ht="12.75" customHeight="1" x14ac:dyDescent="0.2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</row>
    <row r="487" spans="1:40" ht="12.75" customHeight="1" x14ac:dyDescent="0.2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</row>
    <row r="488" spans="1:40" ht="12.75" customHeight="1" x14ac:dyDescent="0.2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</row>
    <row r="489" spans="1:40" ht="12.75" customHeight="1" x14ac:dyDescent="0.2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</row>
    <row r="490" spans="1:40" ht="12.75" customHeight="1" x14ac:dyDescent="0.2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  <c r="AM490" s="62"/>
      <c r="AN490" s="62"/>
    </row>
    <row r="491" spans="1:40" ht="12.75" customHeight="1" x14ac:dyDescent="0.2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  <c r="AM491" s="62"/>
      <c r="AN491" s="62"/>
    </row>
    <row r="492" spans="1:40" ht="12.75" customHeight="1" x14ac:dyDescent="0.2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</row>
    <row r="493" spans="1:40" ht="12.75" customHeight="1" x14ac:dyDescent="0.2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  <c r="AM493" s="62"/>
      <c r="AN493" s="62"/>
    </row>
    <row r="494" spans="1:40" ht="12.75" customHeight="1" x14ac:dyDescent="0.2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</row>
    <row r="495" spans="1:40" ht="12.75" customHeight="1" x14ac:dyDescent="0.2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  <c r="AM495" s="62"/>
      <c r="AN495" s="62"/>
    </row>
    <row r="496" spans="1:40" ht="12.75" customHeight="1" x14ac:dyDescent="0.2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</row>
    <row r="497" spans="1:40" ht="12.75" customHeight="1" x14ac:dyDescent="0.2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</row>
    <row r="498" spans="1:40" ht="12.75" customHeight="1" x14ac:dyDescent="0.2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</row>
    <row r="499" spans="1:40" ht="12.75" customHeight="1" x14ac:dyDescent="0.2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</row>
    <row r="500" spans="1:40" ht="12.75" customHeight="1" x14ac:dyDescent="0.2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</row>
    <row r="501" spans="1:40" ht="12.75" customHeight="1" x14ac:dyDescent="0.2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</row>
    <row r="502" spans="1:40" ht="12.75" customHeight="1" x14ac:dyDescent="0.2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</row>
    <row r="503" spans="1:40" ht="12.75" customHeight="1" x14ac:dyDescent="0.2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</row>
    <row r="504" spans="1:40" ht="12.75" customHeight="1" x14ac:dyDescent="0.2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</row>
    <row r="505" spans="1:40" ht="12.75" customHeight="1" x14ac:dyDescent="0.2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</row>
    <row r="506" spans="1:40" ht="12.75" customHeight="1" x14ac:dyDescent="0.2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</row>
    <row r="507" spans="1:40" ht="12.75" customHeight="1" x14ac:dyDescent="0.2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</row>
    <row r="508" spans="1:40" ht="12.75" customHeight="1" x14ac:dyDescent="0.2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</row>
    <row r="509" spans="1:40" ht="12.75" customHeight="1" x14ac:dyDescent="0.2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</row>
    <row r="510" spans="1:40" ht="12.75" customHeight="1" x14ac:dyDescent="0.2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</row>
    <row r="511" spans="1:40" ht="12.75" customHeight="1" x14ac:dyDescent="0.2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</row>
    <row r="512" spans="1:40" ht="12.75" customHeight="1" x14ac:dyDescent="0.2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</row>
    <row r="513" spans="1:40" ht="12.75" customHeight="1" x14ac:dyDescent="0.2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</row>
    <row r="514" spans="1:40" ht="12.75" customHeight="1" x14ac:dyDescent="0.2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</row>
    <row r="515" spans="1:40" ht="12.75" customHeight="1" x14ac:dyDescent="0.2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</row>
    <row r="516" spans="1:40" ht="12.75" customHeight="1" x14ac:dyDescent="0.2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</row>
    <row r="517" spans="1:40" ht="12.75" customHeight="1" x14ac:dyDescent="0.2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</row>
    <row r="518" spans="1:40" ht="12.75" customHeight="1" x14ac:dyDescent="0.2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</row>
    <row r="519" spans="1:40" ht="12.75" customHeight="1" x14ac:dyDescent="0.2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</row>
    <row r="520" spans="1:40" ht="12.75" customHeight="1" x14ac:dyDescent="0.2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</row>
    <row r="521" spans="1:40" ht="12.75" customHeight="1" x14ac:dyDescent="0.2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</row>
    <row r="522" spans="1:40" ht="12.75" customHeight="1" x14ac:dyDescent="0.2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</row>
    <row r="523" spans="1:40" ht="12.75" customHeight="1" x14ac:dyDescent="0.2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</row>
    <row r="524" spans="1:40" ht="12.75" customHeight="1" x14ac:dyDescent="0.2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</row>
    <row r="525" spans="1:40" ht="12.75" customHeight="1" x14ac:dyDescent="0.2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</row>
    <row r="526" spans="1:40" ht="12.75" customHeight="1" x14ac:dyDescent="0.2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</row>
    <row r="527" spans="1:40" ht="12.75" customHeight="1" x14ac:dyDescent="0.2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</row>
    <row r="528" spans="1:40" ht="12.75" customHeight="1" x14ac:dyDescent="0.2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</row>
    <row r="529" spans="1:40" ht="12.75" customHeight="1" x14ac:dyDescent="0.2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</row>
    <row r="530" spans="1:40" ht="12.75" customHeight="1" x14ac:dyDescent="0.2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</row>
    <row r="531" spans="1:40" ht="12.75" customHeight="1" x14ac:dyDescent="0.2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</row>
    <row r="532" spans="1:40" ht="12.75" customHeight="1" x14ac:dyDescent="0.2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</row>
    <row r="533" spans="1:40" ht="12.75" customHeight="1" x14ac:dyDescent="0.2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</row>
    <row r="534" spans="1:40" ht="12.75" customHeight="1" x14ac:dyDescent="0.2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</row>
    <row r="535" spans="1:40" ht="12.75" customHeight="1" x14ac:dyDescent="0.2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</row>
    <row r="536" spans="1:40" ht="12.75" customHeight="1" x14ac:dyDescent="0.2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</row>
    <row r="537" spans="1:40" ht="12.75" customHeight="1" x14ac:dyDescent="0.2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</row>
    <row r="538" spans="1:40" ht="12.75" customHeight="1" x14ac:dyDescent="0.2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</row>
    <row r="539" spans="1:40" ht="12.75" customHeight="1" x14ac:dyDescent="0.2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</row>
    <row r="540" spans="1:40" ht="12.75" customHeight="1" x14ac:dyDescent="0.2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</row>
    <row r="541" spans="1:40" ht="12.75" customHeight="1" x14ac:dyDescent="0.2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</row>
    <row r="542" spans="1:40" ht="12.75" customHeight="1" x14ac:dyDescent="0.2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</row>
    <row r="543" spans="1:40" ht="12.75" customHeight="1" x14ac:dyDescent="0.2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</row>
    <row r="544" spans="1:40" ht="12.75" customHeight="1" x14ac:dyDescent="0.2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</row>
    <row r="545" spans="1:40" ht="12.75" customHeight="1" x14ac:dyDescent="0.2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</row>
    <row r="546" spans="1:40" ht="12.75" customHeight="1" x14ac:dyDescent="0.2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</row>
    <row r="547" spans="1:40" ht="12.75" customHeight="1" x14ac:dyDescent="0.2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</row>
    <row r="548" spans="1:40" ht="12.75" customHeight="1" x14ac:dyDescent="0.2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</row>
    <row r="549" spans="1:40" ht="12.75" customHeight="1" x14ac:dyDescent="0.2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</row>
    <row r="550" spans="1:40" ht="12.75" customHeight="1" x14ac:dyDescent="0.2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</row>
    <row r="551" spans="1:40" ht="12.75" customHeight="1" x14ac:dyDescent="0.2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</row>
    <row r="552" spans="1:40" ht="12.75" customHeight="1" x14ac:dyDescent="0.2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</row>
    <row r="553" spans="1:40" ht="12.75" customHeight="1" x14ac:dyDescent="0.2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</row>
    <row r="554" spans="1:40" ht="12.75" customHeight="1" x14ac:dyDescent="0.2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</row>
    <row r="555" spans="1:40" ht="12.75" customHeight="1" x14ac:dyDescent="0.2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</row>
    <row r="556" spans="1:40" ht="12.75" customHeight="1" x14ac:dyDescent="0.2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</row>
    <row r="557" spans="1:40" ht="12.75" customHeight="1" x14ac:dyDescent="0.2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</row>
    <row r="558" spans="1:40" ht="12.75" customHeight="1" x14ac:dyDescent="0.2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</row>
    <row r="559" spans="1:40" ht="12.75" customHeight="1" x14ac:dyDescent="0.2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</row>
    <row r="560" spans="1:40" ht="12.75" customHeight="1" x14ac:dyDescent="0.2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</row>
    <row r="561" spans="1:40" ht="12.75" customHeight="1" x14ac:dyDescent="0.2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</row>
    <row r="562" spans="1:40" ht="12.75" customHeight="1" x14ac:dyDescent="0.2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</row>
    <row r="563" spans="1:40" ht="12.75" customHeight="1" x14ac:dyDescent="0.2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</row>
    <row r="564" spans="1:40" ht="12.75" customHeight="1" x14ac:dyDescent="0.2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</row>
    <row r="565" spans="1:40" ht="12.75" customHeight="1" x14ac:dyDescent="0.2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</row>
    <row r="566" spans="1:40" ht="12.75" customHeight="1" x14ac:dyDescent="0.2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</row>
    <row r="567" spans="1:40" ht="12.75" customHeight="1" x14ac:dyDescent="0.2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</row>
    <row r="568" spans="1:40" ht="12.75" customHeight="1" x14ac:dyDescent="0.2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</row>
    <row r="569" spans="1:40" ht="12.75" customHeight="1" x14ac:dyDescent="0.2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</row>
    <row r="570" spans="1:40" ht="12.75" customHeight="1" x14ac:dyDescent="0.2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</row>
    <row r="571" spans="1:40" ht="12.75" customHeight="1" x14ac:dyDescent="0.2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</row>
    <row r="572" spans="1:40" ht="12.75" customHeight="1" x14ac:dyDescent="0.2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</row>
    <row r="573" spans="1:40" ht="12.75" customHeight="1" x14ac:dyDescent="0.2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</row>
    <row r="574" spans="1:40" ht="12.75" customHeight="1" x14ac:dyDescent="0.2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</row>
    <row r="575" spans="1:40" ht="12.75" customHeight="1" x14ac:dyDescent="0.2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</row>
    <row r="576" spans="1:40" ht="12.75" customHeight="1" x14ac:dyDescent="0.2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</row>
    <row r="577" spans="1:40" ht="12.75" customHeight="1" x14ac:dyDescent="0.2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</row>
    <row r="578" spans="1:40" ht="12.75" customHeight="1" x14ac:dyDescent="0.2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</row>
    <row r="579" spans="1:40" ht="12.75" customHeight="1" x14ac:dyDescent="0.2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</row>
    <row r="580" spans="1:40" ht="12.75" customHeight="1" x14ac:dyDescent="0.2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</row>
    <row r="581" spans="1:40" ht="12.75" customHeight="1" x14ac:dyDescent="0.2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</row>
    <row r="582" spans="1:40" ht="12.75" customHeight="1" x14ac:dyDescent="0.2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</row>
    <row r="583" spans="1:40" ht="12.75" customHeight="1" x14ac:dyDescent="0.2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</row>
    <row r="584" spans="1:40" ht="12.75" customHeight="1" x14ac:dyDescent="0.2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</row>
    <row r="585" spans="1:40" ht="12.75" customHeight="1" x14ac:dyDescent="0.2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</row>
    <row r="586" spans="1:40" ht="12.75" customHeight="1" x14ac:dyDescent="0.2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</row>
    <row r="587" spans="1:40" ht="12.75" customHeight="1" x14ac:dyDescent="0.2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</row>
    <row r="588" spans="1:40" ht="12.75" customHeight="1" x14ac:dyDescent="0.2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</row>
    <row r="589" spans="1:40" ht="12.75" customHeight="1" x14ac:dyDescent="0.2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</row>
    <row r="590" spans="1:40" ht="12.75" customHeight="1" x14ac:dyDescent="0.2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</row>
    <row r="591" spans="1:40" ht="12.75" customHeight="1" x14ac:dyDescent="0.2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</row>
    <row r="592" spans="1:40" ht="12.75" customHeight="1" x14ac:dyDescent="0.2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</row>
    <row r="593" spans="1:40" ht="12.75" customHeight="1" x14ac:dyDescent="0.2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</row>
    <row r="594" spans="1:40" ht="12.75" customHeight="1" x14ac:dyDescent="0.2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</row>
    <row r="595" spans="1:40" ht="12.75" customHeight="1" x14ac:dyDescent="0.2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</row>
    <row r="596" spans="1:40" ht="12.75" customHeight="1" x14ac:dyDescent="0.2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</row>
    <row r="597" spans="1:40" ht="12.75" customHeight="1" x14ac:dyDescent="0.2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</row>
    <row r="598" spans="1:40" ht="12.75" customHeight="1" x14ac:dyDescent="0.2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</row>
    <row r="599" spans="1:40" ht="12.75" customHeight="1" x14ac:dyDescent="0.2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</row>
    <row r="600" spans="1:40" ht="12.75" customHeight="1" x14ac:dyDescent="0.2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</row>
    <row r="601" spans="1:40" ht="12.75" customHeight="1" x14ac:dyDescent="0.2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</row>
    <row r="602" spans="1:40" ht="12.75" customHeight="1" x14ac:dyDescent="0.2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</row>
    <row r="603" spans="1:40" ht="12.75" customHeight="1" x14ac:dyDescent="0.2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</row>
    <row r="604" spans="1:40" ht="12.75" customHeight="1" x14ac:dyDescent="0.2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</row>
    <row r="605" spans="1:40" ht="12.75" customHeight="1" x14ac:dyDescent="0.2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</row>
    <row r="606" spans="1:40" ht="12.75" customHeight="1" x14ac:dyDescent="0.2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</row>
    <row r="607" spans="1:40" ht="12.75" customHeight="1" x14ac:dyDescent="0.2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</row>
    <row r="608" spans="1:40" ht="12.75" customHeight="1" x14ac:dyDescent="0.2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</row>
    <row r="609" spans="1:40" ht="12.75" customHeight="1" x14ac:dyDescent="0.2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</row>
    <row r="610" spans="1:40" ht="12.75" customHeight="1" x14ac:dyDescent="0.2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</row>
    <row r="611" spans="1:40" ht="12.75" customHeight="1" x14ac:dyDescent="0.2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</row>
    <row r="612" spans="1:40" ht="12.75" customHeight="1" x14ac:dyDescent="0.2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</row>
    <row r="613" spans="1:40" ht="12.75" customHeight="1" x14ac:dyDescent="0.2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</row>
    <row r="614" spans="1:40" ht="12.75" customHeight="1" x14ac:dyDescent="0.2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</row>
    <row r="615" spans="1:40" ht="12.75" customHeight="1" x14ac:dyDescent="0.2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</row>
    <row r="616" spans="1:40" ht="12.75" customHeight="1" x14ac:dyDescent="0.2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</row>
    <row r="617" spans="1:40" ht="12.75" customHeight="1" x14ac:dyDescent="0.2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</row>
    <row r="618" spans="1:40" ht="12.75" customHeight="1" x14ac:dyDescent="0.2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</row>
    <row r="619" spans="1:40" ht="12.75" customHeight="1" x14ac:dyDescent="0.2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</row>
    <row r="620" spans="1:40" ht="12.75" customHeight="1" x14ac:dyDescent="0.2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</row>
    <row r="621" spans="1:40" ht="12.75" customHeight="1" x14ac:dyDescent="0.2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</row>
    <row r="622" spans="1:40" ht="12.75" customHeight="1" x14ac:dyDescent="0.2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</row>
    <row r="623" spans="1:40" ht="12.75" customHeight="1" x14ac:dyDescent="0.2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</row>
    <row r="624" spans="1:40" ht="12.75" customHeight="1" x14ac:dyDescent="0.2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</row>
    <row r="625" spans="1:40" ht="12.75" customHeight="1" x14ac:dyDescent="0.2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</row>
    <row r="626" spans="1:40" ht="12.75" customHeight="1" x14ac:dyDescent="0.2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</row>
    <row r="627" spans="1:40" ht="12.75" customHeight="1" x14ac:dyDescent="0.2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</row>
    <row r="628" spans="1:40" ht="12.75" customHeight="1" x14ac:dyDescent="0.2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</row>
    <row r="629" spans="1:40" ht="12.75" customHeight="1" x14ac:dyDescent="0.2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</row>
    <row r="630" spans="1:40" ht="12.75" customHeight="1" x14ac:dyDescent="0.2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</row>
    <row r="631" spans="1:40" ht="12.75" customHeight="1" x14ac:dyDescent="0.2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</row>
    <row r="632" spans="1:40" ht="12.75" customHeight="1" x14ac:dyDescent="0.2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</row>
    <row r="633" spans="1:40" ht="12.75" customHeight="1" x14ac:dyDescent="0.2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</row>
    <row r="634" spans="1:40" ht="12.75" customHeight="1" x14ac:dyDescent="0.2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</row>
    <row r="635" spans="1:40" ht="12.75" customHeight="1" x14ac:dyDescent="0.2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</row>
    <row r="636" spans="1:40" ht="12.75" customHeight="1" x14ac:dyDescent="0.2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</row>
    <row r="637" spans="1:40" ht="12.75" customHeight="1" x14ac:dyDescent="0.2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</row>
    <row r="638" spans="1:40" ht="12.75" customHeight="1" x14ac:dyDescent="0.2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</row>
    <row r="639" spans="1:40" ht="12.75" customHeight="1" x14ac:dyDescent="0.2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</row>
    <row r="640" spans="1:40" ht="12.75" customHeight="1" x14ac:dyDescent="0.2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</row>
    <row r="641" spans="1:40" ht="12.75" customHeight="1" x14ac:dyDescent="0.2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</row>
    <row r="642" spans="1:40" ht="12.75" customHeight="1" x14ac:dyDescent="0.2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</row>
    <row r="643" spans="1:40" ht="12.75" customHeight="1" x14ac:dyDescent="0.2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</row>
    <row r="644" spans="1:40" ht="12.75" customHeight="1" x14ac:dyDescent="0.2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</row>
    <row r="645" spans="1:40" ht="12.75" customHeight="1" x14ac:dyDescent="0.2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</row>
    <row r="646" spans="1:40" ht="12.75" customHeight="1" x14ac:dyDescent="0.2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</row>
    <row r="647" spans="1:40" ht="12.75" customHeight="1" x14ac:dyDescent="0.2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</row>
    <row r="648" spans="1:40" ht="12.75" customHeight="1" x14ac:dyDescent="0.2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</row>
    <row r="649" spans="1:40" ht="12.75" customHeight="1" x14ac:dyDescent="0.2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</row>
    <row r="650" spans="1:40" ht="12.75" customHeight="1" x14ac:dyDescent="0.2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</row>
    <row r="651" spans="1:40" ht="12.75" customHeight="1" x14ac:dyDescent="0.2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</row>
    <row r="652" spans="1:40" ht="12.75" customHeight="1" x14ac:dyDescent="0.2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</row>
    <row r="653" spans="1:40" ht="12.75" customHeight="1" x14ac:dyDescent="0.2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</row>
    <row r="654" spans="1:40" ht="12.75" customHeight="1" x14ac:dyDescent="0.2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</row>
    <row r="655" spans="1:40" ht="12.75" customHeight="1" x14ac:dyDescent="0.2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</row>
    <row r="656" spans="1:40" ht="12.75" customHeight="1" x14ac:dyDescent="0.2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</row>
    <row r="657" spans="1:40" ht="12.75" customHeight="1" x14ac:dyDescent="0.2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</row>
    <row r="658" spans="1:40" ht="12.75" customHeight="1" x14ac:dyDescent="0.2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62"/>
      <c r="AH658" s="62"/>
      <c r="AI658" s="62"/>
      <c r="AJ658" s="62"/>
      <c r="AK658" s="62"/>
      <c r="AL658" s="62"/>
      <c r="AM658" s="62"/>
      <c r="AN658" s="62"/>
    </row>
    <row r="659" spans="1:40" ht="12.75" customHeight="1" x14ac:dyDescent="0.2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62"/>
      <c r="AH659" s="62"/>
      <c r="AI659" s="62"/>
      <c r="AJ659" s="62"/>
      <c r="AK659" s="62"/>
      <c r="AL659" s="62"/>
      <c r="AM659" s="62"/>
      <c r="AN659" s="62"/>
    </row>
    <row r="660" spans="1:40" ht="12.75" customHeight="1" x14ac:dyDescent="0.2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62"/>
      <c r="AH660" s="62"/>
      <c r="AI660" s="62"/>
      <c r="AJ660" s="62"/>
      <c r="AK660" s="62"/>
      <c r="AL660" s="62"/>
      <c r="AM660" s="62"/>
      <c r="AN660" s="62"/>
    </row>
    <row r="661" spans="1:40" ht="12.75" customHeight="1" x14ac:dyDescent="0.2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62"/>
      <c r="AH661" s="62"/>
      <c r="AI661" s="62"/>
      <c r="AJ661" s="62"/>
      <c r="AK661" s="62"/>
      <c r="AL661" s="62"/>
      <c r="AM661" s="62"/>
      <c r="AN661" s="62"/>
    </row>
    <row r="662" spans="1:40" ht="12.75" customHeight="1" x14ac:dyDescent="0.2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62"/>
      <c r="AH662" s="62"/>
      <c r="AI662" s="62"/>
      <c r="AJ662" s="62"/>
      <c r="AK662" s="62"/>
      <c r="AL662" s="62"/>
      <c r="AM662" s="62"/>
      <c r="AN662" s="62"/>
    </row>
    <row r="663" spans="1:40" ht="12.75" customHeight="1" x14ac:dyDescent="0.2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62"/>
      <c r="AH663" s="62"/>
      <c r="AI663" s="62"/>
      <c r="AJ663" s="62"/>
      <c r="AK663" s="62"/>
      <c r="AL663" s="62"/>
      <c r="AM663" s="62"/>
      <c r="AN663" s="62"/>
    </row>
    <row r="664" spans="1:40" ht="12.75" customHeight="1" x14ac:dyDescent="0.2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62"/>
      <c r="AH664" s="62"/>
      <c r="AI664" s="62"/>
      <c r="AJ664" s="62"/>
      <c r="AK664" s="62"/>
      <c r="AL664" s="62"/>
      <c r="AM664" s="62"/>
      <c r="AN664" s="62"/>
    </row>
    <row r="665" spans="1:40" ht="12.75" customHeight="1" x14ac:dyDescent="0.2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  <c r="AM665" s="62"/>
      <c r="AN665" s="62"/>
    </row>
    <row r="666" spans="1:40" ht="12.75" customHeight="1" x14ac:dyDescent="0.2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  <c r="AM666" s="62"/>
      <c r="AN666" s="62"/>
    </row>
    <row r="667" spans="1:40" ht="12.75" customHeight="1" x14ac:dyDescent="0.2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62"/>
      <c r="AH667" s="62"/>
      <c r="AI667" s="62"/>
      <c r="AJ667" s="62"/>
      <c r="AK667" s="62"/>
      <c r="AL667" s="62"/>
      <c r="AM667" s="62"/>
      <c r="AN667" s="62"/>
    </row>
    <row r="668" spans="1:40" ht="12.75" customHeight="1" x14ac:dyDescent="0.2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  <c r="AM668" s="62"/>
      <c r="AN668" s="62"/>
    </row>
    <row r="669" spans="1:40" ht="12.75" customHeight="1" x14ac:dyDescent="0.2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  <c r="AM669" s="62"/>
      <c r="AN669" s="62"/>
    </row>
    <row r="670" spans="1:40" ht="12.75" customHeight="1" x14ac:dyDescent="0.2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  <c r="AM670" s="62"/>
      <c r="AN670" s="62"/>
    </row>
    <row r="671" spans="1:40" ht="12.75" customHeight="1" x14ac:dyDescent="0.2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62"/>
      <c r="AH671" s="62"/>
      <c r="AI671" s="62"/>
      <c r="AJ671" s="62"/>
      <c r="AK671" s="62"/>
      <c r="AL671" s="62"/>
      <c r="AM671" s="62"/>
      <c r="AN671" s="62"/>
    </row>
    <row r="672" spans="1:40" ht="12.75" customHeight="1" x14ac:dyDescent="0.2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  <c r="AM672" s="62"/>
      <c r="AN672" s="62"/>
    </row>
    <row r="673" spans="1:40" ht="12.75" customHeight="1" x14ac:dyDescent="0.2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</row>
    <row r="674" spans="1:40" ht="12.75" customHeight="1" x14ac:dyDescent="0.2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62"/>
      <c r="AH674" s="62"/>
      <c r="AI674" s="62"/>
      <c r="AJ674" s="62"/>
      <c r="AK674" s="62"/>
      <c r="AL674" s="62"/>
      <c r="AM674" s="62"/>
      <c r="AN674" s="62"/>
    </row>
    <row r="675" spans="1:40" ht="12.75" customHeight="1" x14ac:dyDescent="0.2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  <c r="AM675" s="62"/>
      <c r="AN675" s="62"/>
    </row>
    <row r="676" spans="1:40" ht="12.75" customHeight="1" x14ac:dyDescent="0.2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  <c r="AM676" s="62"/>
      <c r="AN676" s="62"/>
    </row>
    <row r="677" spans="1:40" ht="12.75" customHeight="1" x14ac:dyDescent="0.2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  <c r="AM677" s="62"/>
      <c r="AN677" s="62"/>
    </row>
    <row r="678" spans="1:40" ht="12.75" customHeight="1" x14ac:dyDescent="0.2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62"/>
      <c r="AH678" s="62"/>
      <c r="AI678" s="62"/>
      <c r="AJ678" s="62"/>
      <c r="AK678" s="62"/>
      <c r="AL678" s="62"/>
      <c r="AM678" s="62"/>
      <c r="AN678" s="62"/>
    </row>
    <row r="679" spans="1:40" ht="12.75" customHeight="1" x14ac:dyDescent="0.2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  <c r="AM679" s="62"/>
      <c r="AN679" s="62"/>
    </row>
    <row r="680" spans="1:40" ht="12.75" customHeight="1" x14ac:dyDescent="0.2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62"/>
      <c r="AH680" s="62"/>
      <c r="AI680" s="62"/>
      <c r="AJ680" s="62"/>
      <c r="AK680" s="62"/>
      <c r="AL680" s="62"/>
      <c r="AM680" s="62"/>
      <c r="AN680" s="62"/>
    </row>
    <row r="681" spans="1:40" ht="12.75" customHeight="1" x14ac:dyDescent="0.2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  <c r="AM681" s="62"/>
      <c r="AN681" s="62"/>
    </row>
    <row r="682" spans="1:40" ht="12.75" customHeight="1" x14ac:dyDescent="0.2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  <c r="AM682" s="62"/>
      <c r="AN682" s="62"/>
    </row>
    <row r="683" spans="1:40" ht="12.75" customHeight="1" x14ac:dyDescent="0.2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  <c r="AM683" s="62"/>
      <c r="AN683" s="62"/>
    </row>
    <row r="684" spans="1:40" ht="12.75" customHeight="1" x14ac:dyDescent="0.2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62"/>
      <c r="AH684" s="62"/>
      <c r="AI684" s="62"/>
      <c r="AJ684" s="62"/>
      <c r="AK684" s="62"/>
      <c r="AL684" s="62"/>
      <c r="AM684" s="62"/>
      <c r="AN684" s="62"/>
    </row>
    <row r="685" spans="1:40" ht="12.75" customHeight="1" x14ac:dyDescent="0.2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  <c r="AM685" s="62"/>
      <c r="AN685" s="62"/>
    </row>
    <row r="686" spans="1:40" ht="12.75" customHeight="1" x14ac:dyDescent="0.2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  <c r="AM686" s="62"/>
      <c r="AN686" s="62"/>
    </row>
    <row r="687" spans="1:40" ht="12.75" customHeight="1" x14ac:dyDescent="0.2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2"/>
      <c r="AJ687" s="62"/>
      <c r="AK687" s="62"/>
      <c r="AL687" s="62"/>
      <c r="AM687" s="62"/>
      <c r="AN687" s="62"/>
    </row>
    <row r="688" spans="1:40" ht="12.75" customHeight="1" x14ac:dyDescent="0.2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</row>
    <row r="689" spans="1:40" ht="12.75" customHeight="1" x14ac:dyDescent="0.2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  <c r="AM689" s="62"/>
      <c r="AN689" s="62"/>
    </row>
    <row r="690" spans="1:40" ht="12.75" customHeight="1" x14ac:dyDescent="0.2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</row>
    <row r="691" spans="1:40" ht="12.75" customHeight="1" x14ac:dyDescent="0.2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  <c r="AM691" s="62"/>
      <c r="AN691" s="62"/>
    </row>
    <row r="692" spans="1:40" ht="12.75" customHeight="1" x14ac:dyDescent="0.2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  <c r="AM692" s="62"/>
      <c r="AN692" s="62"/>
    </row>
    <row r="693" spans="1:40" ht="12.75" customHeight="1" x14ac:dyDescent="0.2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  <c r="AM693" s="62"/>
      <c r="AN693" s="62"/>
    </row>
    <row r="694" spans="1:40" ht="12.75" customHeight="1" x14ac:dyDescent="0.2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</row>
    <row r="695" spans="1:40" ht="12.75" customHeight="1" x14ac:dyDescent="0.2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</row>
    <row r="696" spans="1:40" ht="12.75" customHeight="1" x14ac:dyDescent="0.2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  <c r="AM696" s="62"/>
      <c r="AN696" s="62"/>
    </row>
    <row r="697" spans="1:40" ht="12.75" customHeight="1" x14ac:dyDescent="0.2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  <c r="AM697" s="62"/>
      <c r="AN697" s="62"/>
    </row>
    <row r="698" spans="1:40" ht="12.75" customHeight="1" x14ac:dyDescent="0.2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  <c r="AM698" s="62"/>
      <c r="AN698" s="62"/>
    </row>
    <row r="699" spans="1:40" ht="12.75" customHeight="1" x14ac:dyDescent="0.2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  <c r="AM699" s="62"/>
      <c r="AN699" s="62"/>
    </row>
    <row r="700" spans="1:40" ht="12.75" customHeight="1" x14ac:dyDescent="0.2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  <c r="AM700" s="62"/>
      <c r="AN700" s="62"/>
    </row>
    <row r="701" spans="1:40" ht="12.75" customHeight="1" x14ac:dyDescent="0.2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</row>
    <row r="702" spans="1:40" ht="12.75" customHeight="1" x14ac:dyDescent="0.2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</row>
    <row r="703" spans="1:40" ht="12.75" customHeight="1" x14ac:dyDescent="0.2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  <c r="AM703" s="62"/>
      <c r="AN703" s="62"/>
    </row>
    <row r="704" spans="1:40" ht="12.75" customHeight="1" x14ac:dyDescent="0.2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  <c r="AM704" s="62"/>
      <c r="AN704" s="62"/>
    </row>
    <row r="705" spans="1:40" ht="12.75" customHeight="1" x14ac:dyDescent="0.2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  <c r="AM705" s="62"/>
      <c r="AN705" s="62"/>
    </row>
    <row r="706" spans="1:40" ht="12.75" customHeight="1" x14ac:dyDescent="0.2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  <c r="AM706" s="62"/>
      <c r="AN706" s="62"/>
    </row>
    <row r="707" spans="1:40" ht="12.75" customHeight="1" x14ac:dyDescent="0.2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  <c r="AM707" s="62"/>
      <c r="AN707" s="62"/>
    </row>
    <row r="708" spans="1:40" ht="12.75" customHeight="1" x14ac:dyDescent="0.2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  <c r="AM708" s="62"/>
      <c r="AN708" s="62"/>
    </row>
    <row r="709" spans="1:40" ht="12.75" customHeight="1" x14ac:dyDescent="0.2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  <c r="AM709" s="62"/>
      <c r="AN709" s="62"/>
    </row>
    <row r="710" spans="1:40" ht="12.75" customHeight="1" x14ac:dyDescent="0.2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  <c r="AM710" s="62"/>
      <c r="AN710" s="62"/>
    </row>
    <row r="711" spans="1:40" ht="12.75" customHeight="1" x14ac:dyDescent="0.2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  <c r="AM711" s="62"/>
      <c r="AN711" s="62"/>
    </row>
    <row r="712" spans="1:40" ht="12.75" customHeight="1" x14ac:dyDescent="0.2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  <c r="AM712" s="62"/>
      <c r="AN712" s="62"/>
    </row>
    <row r="713" spans="1:40" ht="12.75" customHeight="1" x14ac:dyDescent="0.2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  <c r="AM713" s="62"/>
      <c r="AN713" s="62"/>
    </row>
    <row r="714" spans="1:40" ht="12.75" customHeight="1" x14ac:dyDescent="0.2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</row>
    <row r="715" spans="1:40" ht="12.75" customHeight="1" x14ac:dyDescent="0.2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/>
      <c r="AI715" s="62"/>
      <c r="AJ715" s="62"/>
      <c r="AK715" s="62"/>
      <c r="AL715" s="62"/>
      <c r="AM715" s="62"/>
      <c r="AN715" s="62"/>
    </row>
    <row r="716" spans="1:40" ht="12.75" customHeight="1" x14ac:dyDescent="0.2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  <c r="AM716" s="62"/>
      <c r="AN716" s="62"/>
    </row>
    <row r="717" spans="1:40" ht="12.75" customHeight="1" x14ac:dyDescent="0.2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  <c r="AM717" s="62"/>
      <c r="AN717" s="62"/>
    </row>
    <row r="718" spans="1:40" ht="12.75" customHeight="1" x14ac:dyDescent="0.2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  <c r="AM718" s="62"/>
      <c r="AN718" s="62"/>
    </row>
    <row r="719" spans="1:40" ht="12.75" customHeight="1" x14ac:dyDescent="0.2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  <c r="AM719" s="62"/>
      <c r="AN719" s="62"/>
    </row>
    <row r="720" spans="1:40" ht="12.75" customHeight="1" x14ac:dyDescent="0.2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  <c r="AM720" s="62"/>
      <c r="AN720" s="62"/>
    </row>
    <row r="721" spans="1:40" ht="12.75" customHeight="1" x14ac:dyDescent="0.2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  <c r="AM721" s="62"/>
      <c r="AN721" s="62"/>
    </row>
    <row r="722" spans="1:40" ht="12.75" customHeight="1" x14ac:dyDescent="0.2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  <c r="AM722" s="62"/>
      <c r="AN722" s="62"/>
    </row>
    <row r="723" spans="1:40" ht="12.75" customHeight="1" x14ac:dyDescent="0.2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/>
      <c r="AI723" s="62"/>
      <c r="AJ723" s="62"/>
      <c r="AK723" s="62"/>
      <c r="AL723" s="62"/>
      <c r="AM723" s="62"/>
      <c r="AN723" s="62"/>
    </row>
    <row r="724" spans="1:40" ht="12.75" customHeight="1" x14ac:dyDescent="0.2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  <c r="AM724" s="62"/>
      <c r="AN724" s="62"/>
    </row>
    <row r="725" spans="1:40" ht="12.75" customHeight="1" x14ac:dyDescent="0.2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  <c r="AM725" s="62"/>
      <c r="AN725" s="62"/>
    </row>
    <row r="726" spans="1:40" ht="12.75" customHeight="1" x14ac:dyDescent="0.2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/>
      <c r="AI726" s="62"/>
      <c r="AJ726" s="62"/>
      <c r="AK726" s="62"/>
      <c r="AL726" s="62"/>
      <c r="AM726" s="62"/>
      <c r="AN726" s="62"/>
    </row>
    <row r="727" spans="1:40" ht="12.75" customHeight="1" x14ac:dyDescent="0.2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  <c r="AM727" s="62"/>
      <c r="AN727" s="62"/>
    </row>
    <row r="728" spans="1:40" ht="12.75" customHeight="1" x14ac:dyDescent="0.2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  <c r="AM728" s="62"/>
      <c r="AN728" s="62"/>
    </row>
    <row r="729" spans="1:40" ht="12.75" customHeight="1" x14ac:dyDescent="0.2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  <c r="AM729" s="62"/>
      <c r="AN729" s="62"/>
    </row>
    <row r="730" spans="1:40" ht="12.75" customHeight="1" x14ac:dyDescent="0.2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  <c r="AM730" s="62"/>
      <c r="AN730" s="62"/>
    </row>
    <row r="731" spans="1:40" ht="12.75" customHeight="1" x14ac:dyDescent="0.2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/>
      <c r="AI731" s="62"/>
      <c r="AJ731" s="62"/>
      <c r="AK731" s="62"/>
      <c r="AL731" s="62"/>
      <c r="AM731" s="62"/>
      <c r="AN731" s="62"/>
    </row>
    <row r="732" spans="1:40" ht="12.75" customHeight="1" x14ac:dyDescent="0.2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2"/>
      <c r="AM732" s="62"/>
      <c r="AN732" s="62"/>
    </row>
    <row r="733" spans="1:40" ht="12.75" customHeight="1" x14ac:dyDescent="0.2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/>
      <c r="AI733" s="62"/>
      <c r="AJ733" s="62"/>
      <c r="AK733" s="62"/>
      <c r="AL733" s="62"/>
      <c r="AM733" s="62"/>
      <c r="AN733" s="62"/>
    </row>
    <row r="734" spans="1:40" ht="12.75" customHeight="1" x14ac:dyDescent="0.2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/>
      <c r="AI734" s="62"/>
      <c r="AJ734" s="62"/>
      <c r="AK734" s="62"/>
      <c r="AL734" s="62"/>
      <c r="AM734" s="62"/>
      <c r="AN734" s="62"/>
    </row>
    <row r="735" spans="1:40" ht="12.75" customHeight="1" x14ac:dyDescent="0.2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/>
      <c r="AI735" s="62"/>
      <c r="AJ735" s="62"/>
      <c r="AK735" s="62"/>
      <c r="AL735" s="62"/>
      <c r="AM735" s="62"/>
      <c r="AN735" s="62"/>
    </row>
    <row r="736" spans="1:40" ht="12.75" customHeight="1" x14ac:dyDescent="0.2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/>
      <c r="AI736" s="62"/>
      <c r="AJ736" s="62"/>
      <c r="AK736" s="62"/>
      <c r="AL736" s="62"/>
      <c r="AM736" s="62"/>
      <c r="AN736" s="62"/>
    </row>
    <row r="737" spans="1:40" ht="12.75" customHeight="1" x14ac:dyDescent="0.2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/>
      <c r="AI737" s="62"/>
      <c r="AJ737" s="62"/>
      <c r="AK737" s="62"/>
      <c r="AL737" s="62"/>
      <c r="AM737" s="62"/>
      <c r="AN737" s="62"/>
    </row>
    <row r="738" spans="1:40" ht="12.75" customHeight="1" x14ac:dyDescent="0.2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/>
      <c r="AI738" s="62"/>
      <c r="AJ738" s="62"/>
      <c r="AK738" s="62"/>
      <c r="AL738" s="62"/>
      <c r="AM738" s="62"/>
      <c r="AN738" s="62"/>
    </row>
    <row r="739" spans="1:40" ht="12.75" customHeight="1" x14ac:dyDescent="0.2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  <c r="AM739" s="62"/>
      <c r="AN739" s="62"/>
    </row>
    <row r="740" spans="1:40" ht="12.75" customHeight="1" x14ac:dyDescent="0.2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/>
      <c r="AI740" s="62"/>
      <c r="AJ740" s="62"/>
      <c r="AK740" s="62"/>
      <c r="AL740" s="62"/>
      <c r="AM740" s="62"/>
      <c r="AN740" s="62"/>
    </row>
    <row r="741" spans="1:40" ht="12.75" customHeight="1" x14ac:dyDescent="0.2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/>
      <c r="AI741" s="62"/>
      <c r="AJ741" s="62"/>
      <c r="AK741" s="62"/>
      <c r="AL741" s="62"/>
      <c r="AM741" s="62"/>
      <c r="AN741" s="62"/>
    </row>
    <row r="742" spans="1:40" ht="12.75" customHeight="1" x14ac:dyDescent="0.2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/>
      <c r="AI742" s="62"/>
      <c r="AJ742" s="62"/>
      <c r="AK742" s="62"/>
      <c r="AL742" s="62"/>
      <c r="AM742" s="62"/>
      <c r="AN742" s="62"/>
    </row>
    <row r="743" spans="1:40" ht="12.75" customHeight="1" x14ac:dyDescent="0.2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/>
      <c r="AI743" s="62"/>
      <c r="AJ743" s="62"/>
      <c r="AK743" s="62"/>
      <c r="AL743" s="62"/>
      <c r="AM743" s="62"/>
      <c r="AN743" s="62"/>
    </row>
    <row r="744" spans="1:40" ht="12.75" customHeight="1" x14ac:dyDescent="0.2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  <c r="AM744" s="62"/>
      <c r="AN744" s="62"/>
    </row>
    <row r="745" spans="1:40" ht="12.75" customHeight="1" x14ac:dyDescent="0.2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/>
      <c r="AI745" s="62"/>
      <c r="AJ745" s="62"/>
      <c r="AK745" s="62"/>
      <c r="AL745" s="62"/>
      <c r="AM745" s="62"/>
      <c r="AN745" s="62"/>
    </row>
    <row r="746" spans="1:40" ht="12.75" customHeight="1" x14ac:dyDescent="0.2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/>
      <c r="AI746" s="62"/>
      <c r="AJ746" s="62"/>
      <c r="AK746" s="62"/>
      <c r="AL746" s="62"/>
      <c r="AM746" s="62"/>
      <c r="AN746" s="62"/>
    </row>
    <row r="747" spans="1:40" ht="12.75" customHeight="1" x14ac:dyDescent="0.2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  <c r="AM747" s="62"/>
      <c r="AN747" s="62"/>
    </row>
    <row r="748" spans="1:40" ht="12.75" customHeight="1" x14ac:dyDescent="0.2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/>
      <c r="AI748" s="62"/>
      <c r="AJ748" s="62"/>
      <c r="AK748" s="62"/>
      <c r="AL748" s="62"/>
      <c r="AM748" s="62"/>
      <c r="AN748" s="62"/>
    </row>
    <row r="749" spans="1:40" ht="12.75" customHeight="1" x14ac:dyDescent="0.2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/>
      <c r="AI749" s="62"/>
      <c r="AJ749" s="62"/>
      <c r="AK749" s="62"/>
      <c r="AL749" s="62"/>
      <c r="AM749" s="62"/>
      <c r="AN749" s="62"/>
    </row>
    <row r="750" spans="1:40" ht="12.75" customHeight="1" x14ac:dyDescent="0.2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/>
      <c r="AI750" s="62"/>
      <c r="AJ750" s="62"/>
      <c r="AK750" s="62"/>
      <c r="AL750" s="62"/>
      <c r="AM750" s="62"/>
      <c r="AN750" s="62"/>
    </row>
    <row r="751" spans="1:40" ht="12.75" customHeight="1" x14ac:dyDescent="0.2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/>
      <c r="AI751" s="62"/>
      <c r="AJ751" s="62"/>
      <c r="AK751" s="62"/>
      <c r="AL751" s="62"/>
      <c r="AM751" s="62"/>
      <c r="AN751" s="62"/>
    </row>
    <row r="752" spans="1:40" ht="12.75" customHeight="1" x14ac:dyDescent="0.2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/>
      <c r="AI752" s="62"/>
      <c r="AJ752" s="62"/>
      <c r="AK752" s="62"/>
      <c r="AL752" s="62"/>
      <c r="AM752" s="62"/>
      <c r="AN752" s="62"/>
    </row>
    <row r="753" spans="1:40" ht="12.75" customHeight="1" x14ac:dyDescent="0.2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/>
      <c r="AI753" s="62"/>
      <c r="AJ753" s="62"/>
      <c r="AK753" s="62"/>
      <c r="AL753" s="62"/>
      <c r="AM753" s="62"/>
      <c r="AN753" s="62"/>
    </row>
    <row r="754" spans="1:40" ht="12.75" customHeight="1" x14ac:dyDescent="0.2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/>
      <c r="AI754" s="62"/>
      <c r="AJ754" s="62"/>
      <c r="AK754" s="62"/>
      <c r="AL754" s="62"/>
      <c r="AM754" s="62"/>
      <c r="AN754" s="62"/>
    </row>
    <row r="755" spans="1:40" ht="12.75" customHeight="1" x14ac:dyDescent="0.2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/>
      <c r="AI755" s="62"/>
      <c r="AJ755" s="62"/>
      <c r="AK755" s="62"/>
      <c r="AL755" s="62"/>
      <c r="AM755" s="62"/>
      <c r="AN755" s="62"/>
    </row>
    <row r="756" spans="1:40" ht="12.75" customHeight="1" x14ac:dyDescent="0.2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/>
      <c r="AI756" s="62"/>
      <c r="AJ756" s="62"/>
      <c r="AK756" s="62"/>
      <c r="AL756" s="62"/>
      <c r="AM756" s="62"/>
      <c r="AN756" s="62"/>
    </row>
    <row r="757" spans="1:40" ht="12.75" customHeight="1" x14ac:dyDescent="0.2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I757" s="62"/>
      <c r="AJ757" s="62"/>
      <c r="AK757" s="62"/>
      <c r="AL757" s="62"/>
      <c r="AM757" s="62"/>
      <c r="AN757" s="62"/>
    </row>
    <row r="758" spans="1:40" ht="12.75" customHeight="1" x14ac:dyDescent="0.2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/>
      <c r="AI758" s="62"/>
      <c r="AJ758" s="62"/>
      <c r="AK758" s="62"/>
      <c r="AL758" s="62"/>
      <c r="AM758" s="62"/>
      <c r="AN758" s="62"/>
    </row>
    <row r="759" spans="1:40" ht="12.75" customHeight="1" x14ac:dyDescent="0.2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/>
      <c r="AI759" s="62"/>
      <c r="AJ759" s="62"/>
      <c r="AK759" s="62"/>
      <c r="AL759" s="62"/>
      <c r="AM759" s="62"/>
      <c r="AN759" s="62"/>
    </row>
    <row r="760" spans="1:40" ht="12.75" customHeight="1" x14ac:dyDescent="0.2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/>
      <c r="AI760" s="62"/>
      <c r="AJ760" s="62"/>
      <c r="AK760" s="62"/>
      <c r="AL760" s="62"/>
      <c r="AM760" s="62"/>
      <c r="AN760" s="62"/>
    </row>
    <row r="761" spans="1:40" ht="12.75" customHeight="1" x14ac:dyDescent="0.2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/>
      <c r="AI761" s="62"/>
      <c r="AJ761" s="62"/>
      <c r="AK761" s="62"/>
      <c r="AL761" s="62"/>
      <c r="AM761" s="62"/>
      <c r="AN761" s="62"/>
    </row>
    <row r="762" spans="1:40" ht="12.75" customHeight="1" x14ac:dyDescent="0.2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/>
      <c r="AI762" s="62"/>
      <c r="AJ762" s="62"/>
      <c r="AK762" s="62"/>
      <c r="AL762" s="62"/>
      <c r="AM762" s="62"/>
      <c r="AN762" s="62"/>
    </row>
    <row r="763" spans="1:40" ht="12.75" customHeight="1" x14ac:dyDescent="0.2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/>
      <c r="AI763" s="62"/>
      <c r="AJ763" s="62"/>
      <c r="AK763" s="62"/>
      <c r="AL763" s="62"/>
      <c r="AM763" s="62"/>
      <c r="AN763" s="62"/>
    </row>
    <row r="764" spans="1:40" ht="12.75" customHeight="1" x14ac:dyDescent="0.2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/>
      <c r="AI764" s="62"/>
      <c r="AJ764" s="62"/>
      <c r="AK764" s="62"/>
      <c r="AL764" s="62"/>
      <c r="AM764" s="62"/>
      <c r="AN764" s="62"/>
    </row>
    <row r="765" spans="1:40" ht="12.75" customHeight="1" x14ac:dyDescent="0.2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/>
      <c r="AI765" s="62"/>
      <c r="AJ765" s="62"/>
      <c r="AK765" s="62"/>
      <c r="AL765" s="62"/>
      <c r="AM765" s="62"/>
      <c r="AN765" s="62"/>
    </row>
    <row r="766" spans="1:40" ht="12.75" customHeight="1" x14ac:dyDescent="0.2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/>
      <c r="AI766" s="62"/>
      <c r="AJ766" s="62"/>
      <c r="AK766" s="62"/>
      <c r="AL766" s="62"/>
      <c r="AM766" s="62"/>
      <c r="AN766" s="62"/>
    </row>
    <row r="767" spans="1:40" ht="12.75" customHeight="1" x14ac:dyDescent="0.2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/>
      <c r="AI767" s="62"/>
      <c r="AJ767" s="62"/>
      <c r="AK767" s="62"/>
      <c r="AL767" s="62"/>
      <c r="AM767" s="62"/>
      <c r="AN767" s="62"/>
    </row>
    <row r="768" spans="1:40" ht="12.75" customHeight="1" x14ac:dyDescent="0.2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/>
      <c r="AI768" s="62"/>
      <c r="AJ768" s="62"/>
      <c r="AK768" s="62"/>
      <c r="AL768" s="62"/>
      <c r="AM768" s="62"/>
      <c r="AN768" s="62"/>
    </row>
    <row r="769" spans="1:40" ht="12.75" customHeight="1" x14ac:dyDescent="0.2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/>
      <c r="AI769" s="62"/>
      <c r="AJ769" s="62"/>
      <c r="AK769" s="62"/>
      <c r="AL769" s="62"/>
      <c r="AM769" s="62"/>
      <c r="AN769" s="62"/>
    </row>
    <row r="770" spans="1:40" ht="12.75" customHeight="1" x14ac:dyDescent="0.2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</row>
    <row r="771" spans="1:40" ht="12.75" customHeight="1" x14ac:dyDescent="0.2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2"/>
      <c r="AK771" s="62"/>
      <c r="AL771" s="62"/>
      <c r="AM771" s="62"/>
      <c r="AN771" s="62"/>
    </row>
    <row r="772" spans="1:40" ht="12.75" customHeight="1" x14ac:dyDescent="0.2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/>
      <c r="AI772" s="62"/>
      <c r="AJ772" s="62"/>
      <c r="AK772" s="62"/>
      <c r="AL772" s="62"/>
      <c r="AM772" s="62"/>
      <c r="AN772" s="62"/>
    </row>
    <row r="773" spans="1:40" ht="12.75" customHeight="1" x14ac:dyDescent="0.2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/>
      <c r="AI773" s="62"/>
      <c r="AJ773" s="62"/>
      <c r="AK773" s="62"/>
      <c r="AL773" s="62"/>
      <c r="AM773" s="62"/>
      <c r="AN773" s="62"/>
    </row>
    <row r="774" spans="1:40" ht="12.75" customHeight="1" x14ac:dyDescent="0.2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/>
      <c r="AI774" s="62"/>
      <c r="AJ774" s="62"/>
      <c r="AK774" s="62"/>
      <c r="AL774" s="62"/>
      <c r="AM774" s="62"/>
      <c r="AN774" s="62"/>
    </row>
    <row r="775" spans="1:40" ht="12.75" customHeight="1" x14ac:dyDescent="0.2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/>
      <c r="AI775" s="62"/>
      <c r="AJ775" s="62"/>
      <c r="AK775" s="62"/>
      <c r="AL775" s="62"/>
      <c r="AM775" s="62"/>
      <c r="AN775" s="62"/>
    </row>
    <row r="776" spans="1:40" ht="12.75" customHeight="1" x14ac:dyDescent="0.2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/>
      <c r="AI776" s="62"/>
      <c r="AJ776" s="62"/>
      <c r="AK776" s="62"/>
      <c r="AL776" s="62"/>
      <c r="AM776" s="62"/>
      <c r="AN776" s="62"/>
    </row>
    <row r="777" spans="1:40" ht="12.75" customHeight="1" x14ac:dyDescent="0.2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  <c r="AM777" s="62"/>
      <c r="AN777" s="62"/>
    </row>
    <row r="778" spans="1:40" ht="12.75" customHeight="1" x14ac:dyDescent="0.2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  <c r="AM778" s="62"/>
      <c r="AN778" s="62"/>
    </row>
    <row r="779" spans="1:40" ht="12.75" customHeight="1" x14ac:dyDescent="0.2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  <c r="AM779" s="62"/>
      <c r="AN779" s="62"/>
    </row>
    <row r="780" spans="1:40" ht="12.75" customHeight="1" x14ac:dyDescent="0.2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  <c r="AM780" s="62"/>
      <c r="AN780" s="62"/>
    </row>
    <row r="781" spans="1:40" ht="12.75" customHeight="1" x14ac:dyDescent="0.2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/>
      <c r="AI781" s="62"/>
      <c r="AJ781" s="62"/>
      <c r="AK781" s="62"/>
      <c r="AL781" s="62"/>
      <c r="AM781" s="62"/>
      <c r="AN781" s="62"/>
    </row>
    <row r="782" spans="1:40" ht="12.75" customHeight="1" x14ac:dyDescent="0.2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/>
      <c r="AI782" s="62"/>
      <c r="AJ782" s="62"/>
      <c r="AK782" s="62"/>
      <c r="AL782" s="62"/>
      <c r="AM782" s="62"/>
      <c r="AN782" s="62"/>
    </row>
    <row r="783" spans="1:40" ht="12.75" customHeight="1" x14ac:dyDescent="0.2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</row>
    <row r="784" spans="1:40" ht="12.75" customHeight="1" x14ac:dyDescent="0.2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62"/>
      <c r="AH784" s="62"/>
      <c r="AI784" s="62"/>
      <c r="AJ784" s="62"/>
      <c r="AK784" s="62"/>
      <c r="AL784" s="62"/>
      <c r="AM784" s="62"/>
      <c r="AN784" s="62"/>
    </row>
    <row r="785" spans="1:40" ht="12.75" customHeight="1" x14ac:dyDescent="0.2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</row>
    <row r="786" spans="1:40" ht="12.75" customHeight="1" x14ac:dyDescent="0.2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/>
      <c r="AI786" s="62"/>
      <c r="AJ786" s="62"/>
      <c r="AK786" s="62"/>
      <c r="AL786" s="62"/>
      <c r="AM786" s="62"/>
      <c r="AN786" s="62"/>
    </row>
    <row r="787" spans="1:40" ht="12.75" customHeight="1" x14ac:dyDescent="0.2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/>
      <c r="AI787" s="62"/>
      <c r="AJ787" s="62"/>
      <c r="AK787" s="62"/>
      <c r="AL787" s="62"/>
      <c r="AM787" s="62"/>
      <c r="AN787" s="62"/>
    </row>
    <row r="788" spans="1:40" ht="12.75" customHeight="1" x14ac:dyDescent="0.2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  <c r="AM788" s="62"/>
      <c r="AN788" s="62"/>
    </row>
    <row r="789" spans="1:40" ht="12.75" customHeight="1" x14ac:dyDescent="0.2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/>
      <c r="AI789" s="62"/>
      <c r="AJ789" s="62"/>
      <c r="AK789" s="62"/>
      <c r="AL789" s="62"/>
      <c r="AM789" s="62"/>
      <c r="AN789" s="62"/>
    </row>
    <row r="790" spans="1:40" ht="12.75" customHeight="1" x14ac:dyDescent="0.2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/>
      <c r="AI790" s="62"/>
      <c r="AJ790" s="62"/>
      <c r="AK790" s="62"/>
      <c r="AL790" s="62"/>
      <c r="AM790" s="62"/>
      <c r="AN790" s="62"/>
    </row>
    <row r="791" spans="1:40" ht="12.75" customHeight="1" x14ac:dyDescent="0.2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/>
      <c r="AI791" s="62"/>
      <c r="AJ791" s="62"/>
      <c r="AK791" s="62"/>
      <c r="AL791" s="62"/>
      <c r="AM791" s="62"/>
      <c r="AN791" s="62"/>
    </row>
    <row r="792" spans="1:40" ht="12.75" customHeight="1" x14ac:dyDescent="0.2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/>
      <c r="AI792" s="62"/>
      <c r="AJ792" s="62"/>
      <c r="AK792" s="62"/>
      <c r="AL792" s="62"/>
      <c r="AM792" s="62"/>
      <c r="AN792" s="62"/>
    </row>
    <row r="793" spans="1:40" ht="12.75" customHeight="1" x14ac:dyDescent="0.2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  <c r="AM793" s="62"/>
      <c r="AN793" s="62"/>
    </row>
    <row r="794" spans="1:40" ht="12.75" customHeight="1" x14ac:dyDescent="0.2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/>
      <c r="AI794" s="62"/>
      <c r="AJ794" s="62"/>
      <c r="AK794" s="62"/>
      <c r="AL794" s="62"/>
      <c r="AM794" s="62"/>
      <c r="AN794" s="62"/>
    </row>
    <row r="795" spans="1:40" ht="12.75" customHeight="1" x14ac:dyDescent="0.2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</row>
    <row r="796" spans="1:40" ht="12.75" customHeight="1" x14ac:dyDescent="0.2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  <c r="AM796" s="62"/>
      <c r="AN796" s="62"/>
    </row>
    <row r="797" spans="1:40" ht="12.75" customHeight="1" x14ac:dyDescent="0.2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  <c r="AM797" s="62"/>
      <c r="AN797" s="62"/>
    </row>
    <row r="798" spans="1:40" ht="12.75" customHeight="1" x14ac:dyDescent="0.2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  <c r="AM798" s="62"/>
      <c r="AN798" s="62"/>
    </row>
    <row r="799" spans="1:40" ht="12.75" customHeight="1" x14ac:dyDescent="0.2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/>
      <c r="AI799" s="62"/>
      <c r="AJ799" s="62"/>
      <c r="AK799" s="62"/>
      <c r="AL799" s="62"/>
      <c r="AM799" s="62"/>
      <c r="AN799" s="62"/>
    </row>
    <row r="800" spans="1:40" ht="12.75" customHeight="1" x14ac:dyDescent="0.2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</row>
    <row r="801" spans="1:40" ht="12.75" customHeight="1" x14ac:dyDescent="0.2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  <c r="AM801" s="62"/>
      <c r="AN801" s="62"/>
    </row>
    <row r="802" spans="1:40" ht="12.75" customHeight="1" x14ac:dyDescent="0.2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  <c r="AM802" s="62"/>
      <c r="AN802" s="62"/>
    </row>
    <row r="803" spans="1:40" ht="12.75" customHeight="1" x14ac:dyDescent="0.2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</row>
    <row r="804" spans="1:40" ht="12.75" customHeight="1" x14ac:dyDescent="0.2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/>
      <c r="AI804" s="62"/>
      <c r="AJ804" s="62"/>
      <c r="AK804" s="62"/>
      <c r="AL804" s="62"/>
      <c r="AM804" s="62"/>
      <c r="AN804" s="62"/>
    </row>
    <row r="805" spans="1:40" ht="12.75" customHeight="1" x14ac:dyDescent="0.2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/>
      <c r="AI805" s="62"/>
      <c r="AJ805" s="62"/>
      <c r="AK805" s="62"/>
      <c r="AL805" s="62"/>
      <c r="AM805" s="62"/>
      <c r="AN805" s="62"/>
    </row>
    <row r="806" spans="1:40" ht="12.75" customHeight="1" x14ac:dyDescent="0.2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/>
      <c r="AI806" s="62"/>
      <c r="AJ806" s="62"/>
      <c r="AK806" s="62"/>
      <c r="AL806" s="62"/>
      <c r="AM806" s="62"/>
      <c r="AN806" s="62"/>
    </row>
    <row r="807" spans="1:40" ht="12.75" customHeight="1" x14ac:dyDescent="0.2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/>
      <c r="AI807" s="62"/>
      <c r="AJ807" s="62"/>
      <c r="AK807" s="62"/>
      <c r="AL807" s="62"/>
      <c r="AM807" s="62"/>
      <c r="AN807" s="62"/>
    </row>
    <row r="808" spans="1:40" ht="12.75" customHeight="1" x14ac:dyDescent="0.2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/>
      <c r="AI808" s="62"/>
      <c r="AJ808" s="62"/>
      <c r="AK808" s="62"/>
      <c r="AL808" s="62"/>
      <c r="AM808" s="62"/>
      <c r="AN808" s="62"/>
    </row>
    <row r="809" spans="1:40" ht="12.75" customHeight="1" x14ac:dyDescent="0.2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/>
      <c r="AI809" s="62"/>
      <c r="AJ809" s="62"/>
      <c r="AK809" s="62"/>
      <c r="AL809" s="62"/>
      <c r="AM809" s="62"/>
      <c r="AN809" s="62"/>
    </row>
    <row r="810" spans="1:40" ht="12.75" customHeight="1" x14ac:dyDescent="0.2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  <c r="AM810" s="62"/>
      <c r="AN810" s="62"/>
    </row>
    <row r="811" spans="1:40" ht="12.75" customHeight="1" x14ac:dyDescent="0.2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/>
      <c r="AI811" s="62"/>
      <c r="AJ811" s="62"/>
      <c r="AK811" s="62"/>
      <c r="AL811" s="62"/>
      <c r="AM811" s="62"/>
      <c r="AN811" s="62"/>
    </row>
    <row r="812" spans="1:40" ht="12.75" customHeight="1" x14ac:dyDescent="0.2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/>
      <c r="AI812" s="62"/>
      <c r="AJ812" s="62"/>
      <c r="AK812" s="62"/>
      <c r="AL812" s="62"/>
      <c r="AM812" s="62"/>
      <c r="AN812" s="62"/>
    </row>
    <row r="813" spans="1:40" ht="12.75" customHeight="1" x14ac:dyDescent="0.2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/>
      <c r="AI813" s="62"/>
      <c r="AJ813" s="62"/>
      <c r="AK813" s="62"/>
      <c r="AL813" s="62"/>
      <c r="AM813" s="62"/>
      <c r="AN813" s="62"/>
    </row>
    <row r="814" spans="1:40" ht="12.75" customHeight="1" x14ac:dyDescent="0.2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/>
      <c r="AI814" s="62"/>
      <c r="AJ814" s="62"/>
      <c r="AK814" s="62"/>
      <c r="AL814" s="62"/>
      <c r="AM814" s="62"/>
      <c r="AN814" s="62"/>
    </row>
    <row r="815" spans="1:40" ht="12.75" customHeight="1" x14ac:dyDescent="0.2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/>
      <c r="AI815" s="62"/>
      <c r="AJ815" s="62"/>
      <c r="AK815" s="62"/>
      <c r="AL815" s="62"/>
      <c r="AM815" s="62"/>
      <c r="AN815" s="62"/>
    </row>
    <row r="816" spans="1:40" ht="12.75" customHeight="1" x14ac:dyDescent="0.2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/>
      <c r="AI816" s="62"/>
      <c r="AJ816" s="62"/>
      <c r="AK816" s="62"/>
      <c r="AL816" s="62"/>
      <c r="AM816" s="62"/>
      <c r="AN816" s="62"/>
    </row>
    <row r="817" spans="1:40" ht="12.75" customHeight="1" x14ac:dyDescent="0.2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/>
      <c r="AI817" s="62"/>
      <c r="AJ817" s="62"/>
      <c r="AK817" s="62"/>
      <c r="AL817" s="62"/>
      <c r="AM817" s="62"/>
      <c r="AN817" s="62"/>
    </row>
    <row r="818" spans="1:40" ht="12.75" customHeight="1" x14ac:dyDescent="0.2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/>
      <c r="AI818" s="62"/>
      <c r="AJ818" s="62"/>
      <c r="AK818" s="62"/>
      <c r="AL818" s="62"/>
      <c r="AM818" s="62"/>
      <c r="AN818" s="62"/>
    </row>
    <row r="819" spans="1:40" ht="12.75" customHeight="1" x14ac:dyDescent="0.2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/>
      <c r="AI819" s="62"/>
      <c r="AJ819" s="62"/>
      <c r="AK819" s="62"/>
      <c r="AL819" s="62"/>
      <c r="AM819" s="62"/>
      <c r="AN819" s="62"/>
    </row>
    <row r="820" spans="1:40" ht="12.75" customHeight="1" x14ac:dyDescent="0.2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/>
      <c r="AI820" s="62"/>
      <c r="AJ820" s="62"/>
      <c r="AK820" s="62"/>
      <c r="AL820" s="62"/>
      <c r="AM820" s="62"/>
      <c r="AN820" s="62"/>
    </row>
    <row r="821" spans="1:40" ht="12.75" customHeight="1" x14ac:dyDescent="0.2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/>
      <c r="AI821" s="62"/>
      <c r="AJ821" s="62"/>
      <c r="AK821" s="62"/>
      <c r="AL821" s="62"/>
      <c r="AM821" s="62"/>
      <c r="AN821" s="62"/>
    </row>
    <row r="822" spans="1:40" ht="12.75" customHeight="1" x14ac:dyDescent="0.2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/>
      <c r="AI822" s="62"/>
      <c r="AJ822" s="62"/>
      <c r="AK822" s="62"/>
      <c r="AL822" s="62"/>
      <c r="AM822" s="62"/>
      <c r="AN822" s="62"/>
    </row>
    <row r="823" spans="1:40" ht="12.75" customHeight="1" x14ac:dyDescent="0.2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/>
      <c r="AI823" s="62"/>
      <c r="AJ823" s="62"/>
      <c r="AK823" s="62"/>
      <c r="AL823" s="62"/>
      <c r="AM823" s="62"/>
      <c r="AN823" s="62"/>
    </row>
    <row r="824" spans="1:40" ht="12.75" customHeight="1" x14ac:dyDescent="0.2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/>
      <c r="AI824" s="62"/>
      <c r="AJ824" s="62"/>
      <c r="AK824" s="62"/>
      <c r="AL824" s="62"/>
      <c r="AM824" s="62"/>
      <c r="AN824" s="62"/>
    </row>
    <row r="825" spans="1:40" ht="12.75" customHeight="1" x14ac:dyDescent="0.2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/>
      <c r="AI825" s="62"/>
      <c r="AJ825" s="62"/>
      <c r="AK825" s="62"/>
      <c r="AL825" s="62"/>
      <c r="AM825" s="62"/>
      <c r="AN825" s="62"/>
    </row>
    <row r="826" spans="1:40" ht="12.75" customHeight="1" x14ac:dyDescent="0.2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/>
      <c r="AI826" s="62"/>
      <c r="AJ826" s="62"/>
      <c r="AK826" s="62"/>
      <c r="AL826" s="62"/>
      <c r="AM826" s="62"/>
      <c r="AN826" s="62"/>
    </row>
    <row r="827" spans="1:40" ht="12.75" customHeight="1" x14ac:dyDescent="0.2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  <c r="AM827" s="62"/>
      <c r="AN827" s="62"/>
    </row>
    <row r="828" spans="1:40" ht="12.75" customHeight="1" x14ac:dyDescent="0.2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/>
      <c r="AI828" s="62"/>
      <c r="AJ828" s="62"/>
      <c r="AK828" s="62"/>
      <c r="AL828" s="62"/>
      <c r="AM828" s="62"/>
      <c r="AN828" s="62"/>
    </row>
    <row r="829" spans="1:40" ht="12.75" customHeight="1" x14ac:dyDescent="0.2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/>
      <c r="AI829" s="62"/>
      <c r="AJ829" s="62"/>
      <c r="AK829" s="62"/>
      <c r="AL829" s="62"/>
      <c r="AM829" s="62"/>
      <c r="AN829" s="62"/>
    </row>
    <row r="830" spans="1:40" ht="12.75" customHeight="1" x14ac:dyDescent="0.2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/>
      <c r="AI830" s="62"/>
      <c r="AJ830" s="62"/>
      <c r="AK830" s="62"/>
      <c r="AL830" s="62"/>
      <c r="AM830" s="62"/>
      <c r="AN830" s="62"/>
    </row>
    <row r="831" spans="1:40" ht="12.75" customHeight="1" x14ac:dyDescent="0.2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/>
      <c r="AI831" s="62"/>
      <c r="AJ831" s="62"/>
      <c r="AK831" s="62"/>
      <c r="AL831" s="62"/>
      <c r="AM831" s="62"/>
      <c r="AN831" s="62"/>
    </row>
    <row r="832" spans="1:40" ht="12.75" customHeight="1" x14ac:dyDescent="0.2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</row>
    <row r="833" spans="1:40" ht="12.75" customHeight="1" x14ac:dyDescent="0.2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/>
      <c r="AI833" s="62"/>
      <c r="AJ833" s="62"/>
      <c r="AK833" s="62"/>
      <c r="AL833" s="62"/>
      <c r="AM833" s="62"/>
      <c r="AN833" s="62"/>
    </row>
    <row r="834" spans="1:40" ht="12.75" customHeight="1" x14ac:dyDescent="0.2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/>
      <c r="AI834" s="62"/>
      <c r="AJ834" s="62"/>
      <c r="AK834" s="62"/>
      <c r="AL834" s="62"/>
      <c r="AM834" s="62"/>
      <c r="AN834" s="62"/>
    </row>
    <row r="835" spans="1:40" ht="12.75" customHeight="1" x14ac:dyDescent="0.2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  <c r="AM835" s="62"/>
      <c r="AN835" s="62"/>
    </row>
    <row r="836" spans="1:40" ht="12.75" customHeight="1" x14ac:dyDescent="0.2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</row>
    <row r="837" spans="1:40" ht="12.75" customHeight="1" x14ac:dyDescent="0.2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</row>
    <row r="838" spans="1:40" ht="12.75" customHeight="1" x14ac:dyDescent="0.2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  <c r="AM838" s="62"/>
      <c r="AN838" s="62"/>
    </row>
    <row r="839" spans="1:40" ht="12.75" customHeight="1" x14ac:dyDescent="0.2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  <c r="AM839" s="62"/>
      <c r="AN839" s="62"/>
    </row>
    <row r="840" spans="1:40" ht="12.75" customHeight="1" x14ac:dyDescent="0.2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  <c r="AM840" s="62"/>
      <c r="AN840" s="62"/>
    </row>
    <row r="841" spans="1:40" ht="12.75" customHeight="1" x14ac:dyDescent="0.2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  <c r="AM841" s="62"/>
      <c r="AN841" s="62"/>
    </row>
    <row r="842" spans="1:40" ht="12.75" customHeight="1" x14ac:dyDescent="0.2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</row>
    <row r="843" spans="1:40" ht="12.75" customHeight="1" x14ac:dyDescent="0.2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  <c r="AM843" s="62"/>
      <c r="AN843" s="62"/>
    </row>
    <row r="844" spans="1:40" ht="12.75" customHeight="1" x14ac:dyDescent="0.2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  <c r="AM844" s="62"/>
      <c r="AN844" s="62"/>
    </row>
    <row r="845" spans="1:40" ht="12.75" customHeight="1" x14ac:dyDescent="0.2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  <c r="AM845" s="62"/>
      <c r="AN845" s="62"/>
    </row>
    <row r="846" spans="1:40" ht="12.75" customHeight="1" x14ac:dyDescent="0.2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  <c r="AM846" s="62"/>
      <c r="AN846" s="62"/>
    </row>
    <row r="847" spans="1:40" ht="12.75" customHeight="1" x14ac:dyDescent="0.2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  <c r="AM847" s="62"/>
      <c r="AN847" s="62"/>
    </row>
    <row r="848" spans="1:40" ht="12.75" customHeight="1" x14ac:dyDescent="0.2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/>
      <c r="AI848" s="62"/>
      <c r="AJ848" s="62"/>
      <c r="AK848" s="62"/>
      <c r="AL848" s="62"/>
      <c r="AM848" s="62"/>
      <c r="AN848" s="62"/>
    </row>
    <row r="849" spans="1:40" ht="12.75" customHeight="1" x14ac:dyDescent="0.2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  <c r="AM849" s="62"/>
      <c r="AN849" s="62"/>
    </row>
    <row r="850" spans="1:40" ht="12.75" customHeight="1" x14ac:dyDescent="0.2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  <c r="AM850" s="62"/>
      <c r="AN850" s="62"/>
    </row>
    <row r="851" spans="1:40" ht="12.75" customHeight="1" x14ac:dyDescent="0.2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  <c r="AM851" s="62"/>
      <c r="AN851" s="62"/>
    </row>
    <row r="852" spans="1:40" ht="12.75" customHeight="1" x14ac:dyDescent="0.2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  <c r="AM852" s="62"/>
      <c r="AN852" s="62"/>
    </row>
    <row r="853" spans="1:40" ht="12.75" customHeight="1" x14ac:dyDescent="0.2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  <c r="AM853" s="62"/>
      <c r="AN853" s="62"/>
    </row>
    <row r="854" spans="1:40" ht="12.75" customHeight="1" x14ac:dyDescent="0.2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</row>
    <row r="855" spans="1:40" ht="12.75" customHeight="1" x14ac:dyDescent="0.2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  <c r="AM855" s="62"/>
      <c r="AN855" s="62"/>
    </row>
    <row r="856" spans="1:40" ht="12.75" customHeight="1" x14ac:dyDescent="0.2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  <c r="AM856" s="62"/>
      <c r="AN856" s="62"/>
    </row>
    <row r="857" spans="1:40" ht="12.75" customHeight="1" x14ac:dyDescent="0.2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</row>
    <row r="858" spans="1:40" ht="12.75" customHeight="1" x14ac:dyDescent="0.2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  <c r="AM858" s="62"/>
      <c r="AN858" s="62"/>
    </row>
    <row r="859" spans="1:40" ht="12.75" customHeight="1" x14ac:dyDescent="0.2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  <c r="AM859" s="62"/>
      <c r="AN859" s="62"/>
    </row>
    <row r="860" spans="1:40" ht="12.75" customHeight="1" x14ac:dyDescent="0.2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</row>
    <row r="861" spans="1:40" ht="12.75" customHeight="1" x14ac:dyDescent="0.2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  <c r="AM861" s="62"/>
      <c r="AN861" s="62"/>
    </row>
    <row r="862" spans="1:40" ht="12.75" customHeight="1" x14ac:dyDescent="0.2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</row>
    <row r="863" spans="1:40" ht="12.75" customHeight="1" x14ac:dyDescent="0.2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  <c r="AM863" s="62"/>
      <c r="AN863" s="62"/>
    </row>
    <row r="864" spans="1:40" ht="12.75" customHeight="1" x14ac:dyDescent="0.2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  <c r="AM864" s="62"/>
      <c r="AN864" s="62"/>
    </row>
    <row r="865" spans="1:40" ht="12.75" customHeight="1" x14ac:dyDescent="0.2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</row>
    <row r="866" spans="1:40" ht="12.75" customHeight="1" x14ac:dyDescent="0.2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</row>
    <row r="867" spans="1:40" ht="12.75" customHeight="1" x14ac:dyDescent="0.2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</row>
    <row r="868" spans="1:40" ht="12.75" customHeight="1" x14ac:dyDescent="0.2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  <c r="AM868" s="62"/>
      <c r="AN868" s="62"/>
    </row>
    <row r="869" spans="1:40" ht="12.75" customHeight="1" x14ac:dyDescent="0.2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  <c r="AM869" s="62"/>
      <c r="AN869" s="62"/>
    </row>
    <row r="870" spans="1:40" ht="12.75" customHeight="1" x14ac:dyDescent="0.2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  <c r="AM870" s="62"/>
      <c r="AN870" s="62"/>
    </row>
    <row r="871" spans="1:40" ht="12.75" customHeight="1" x14ac:dyDescent="0.2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  <c r="AM871" s="62"/>
      <c r="AN871" s="62"/>
    </row>
    <row r="872" spans="1:40" ht="12.75" customHeight="1" x14ac:dyDescent="0.2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  <c r="AM872" s="62"/>
      <c r="AN872" s="62"/>
    </row>
    <row r="873" spans="1:40" ht="12.75" customHeight="1" x14ac:dyDescent="0.2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  <c r="AM873" s="62"/>
      <c r="AN873" s="62"/>
    </row>
    <row r="874" spans="1:40" ht="12.75" customHeight="1" x14ac:dyDescent="0.2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  <c r="AM874" s="62"/>
      <c r="AN874" s="62"/>
    </row>
    <row r="875" spans="1:40" ht="12.75" customHeight="1" x14ac:dyDescent="0.2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  <c r="AM875" s="62"/>
      <c r="AN875" s="62"/>
    </row>
    <row r="876" spans="1:40" ht="12.75" customHeight="1" x14ac:dyDescent="0.2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  <c r="AM876" s="62"/>
      <c r="AN876" s="62"/>
    </row>
    <row r="877" spans="1:40" ht="12.75" customHeight="1" x14ac:dyDescent="0.2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</row>
    <row r="878" spans="1:40" ht="12.75" customHeight="1" x14ac:dyDescent="0.2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</row>
    <row r="879" spans="1:40" ht="12.75" customHeight="1" x14ac:dyDescent="0.2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  <c r="AM879" s="62"/>
      <c r="AN879" s="62"/>
    </row>
    <row r="880" spans="1:40" ht="12.75" customHeight="1" x14ac:dyDescent="0.2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  <c r="AM880" s="62"/>
      <c r="AN880" s="62"/>
    </row>
    <row r="881" spans="1:40" ht="12.75" customHeight="1" x14ac:dyDescent="0.2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  <c r="AM881" s="62"/>
      <c r="AN881" s="62"/>
    </row>
    <row r="882" spans="1:40" ht="12.75" customHeight="1" x14ac:dyDescent="0.2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</row>
    <row r="883" spans="1:40" ht="12.75" customHeight="1" x14ac:dyDescent="0.2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  <c r="AM883" s="62"/>
      <c r="AN883" s="62"/>
    </row>
    <row r="884" spans="1:40" ht="12.75" customHeight="1" x14ac:dyDescent="0.2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</row>
    <row r="885" spans="1:40" ht="12.75" customHeight="1" x14ac:dyDescent="0.2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  <c r="AM885" s="62"/>
      <c r="AN885" s="62"/>
    </row>
    <row r="886" spans="1:40" ht="12.75" customHeight="1" x14ac:dyDescent="0.2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</row>
    <row r="887" spans="1:40" ht="12.75" customHeight="1" x14ac:dyDescent="0.2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/>
      <c r="AI887" s="62"/>
      <c r="AJ887" s="62"/>
      <c r="AK887" s="62"/>
      <c r="AL887" s="62"/>
      <c r="AM887" s="62"/>
      <c r="AN887" s="62"/>
    </row>
    <row r="888" spans="1:40" ht="12.75" customHeight="1" x14ac:dyDescent="0.2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/>
      <c r="AI888" s="62"/>
      <c r="AJ888" s="62"/>
      <c r="AK888" s="62"/>
      <c r="AL888" s="62"/>
      <c r="AM888" s="62"/>
      <c r="AN888" s="62"/>
    </row>
    <row r="889" spans="1:40" ht="12.75" customHeight="1" x14ac:dyDescent="0.2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  <c r="AM889" s="62"/>
      <c r="AN889" s="62"/>
    </row>
    <row r="890" spans="1:40" ht="12.75" customHeight="1" x14ac:dyDescent="0.2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  <c r="AM890" s="62"/>
      <c r="AN890" s="62"/>
    </row>
    <row r="891" spans="1:40" ht="12.75" customHeight="1" x14ac:dyDescent="0.2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</row>
    <row r="892" spans="1:40" ht="12.75" customHeight="1" x14ac:dyDescent="0.2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</row>
    <row r="893" spans="1:40" ht="12.75" customHeight="1" x14ac:dyDescent="0.2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  <c r="AM893" s="62"/>
      <c r="AN893" s="62"/>
    </row>
    <row r="894" spans="1:40" ht="12.75" customHeight="1" x14ac:dyDescent="0.2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  <c r="AM894" s="62"/>
      <c r="AN894" s="62"/>
    </row>
    <row r="895" spans="1:40" ht="12.75" customHeight="1" x14ac:dyDescent="0.2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  <c r="AM895" s="62"/>
      <c r="AN895" s="62"/>
    </row>
    <row r="896" spans="1:40" ht="12.75" customHeight="1" x14ac:dyDescent="0.2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  <c r="AM896" s="62"/>
      <c r="AN896" s="62"/>
    </row>
    <row r="897" spans="1:40" ht="12.75" customHeight="1" x14ac:dyDescent="0.2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</row>
    <row r="898" spans="1:40" ht="12.75" customHeight="1" x14ac:dyDescent="0.2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  <c r="AM898" s="62"/>
      <c r="AN898" s="62"/>
    </row>
    <row r="899" spans="1:40" ht="12.75" customHeight="1" x14ac:dyDescent="0.2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/>
      <c r="AI899" s="62"/>
      <c r="AJ899" s="62"/>
      <c r="AK899" s="62"/>
      <c r="AL899" s="62"/>
      <c r="AM899" s="62"/>
      <c r="AN899" s="62"/>
    </row>
    <row r="900" spans="1:40" ht="12.75" customHeight="1" x14ac:dyDescent="0.2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/>
      <c r="AI900" s="62"/>
      <c r="AJ900" s="62"/>
      <c r="AK900" s="62"/>
      <c r="AL900" s="62"/>
      <c r="AM900" s="62"/>
      <c r="AN900" s="62"/>
    </row>
    <row r="901" spans="1:40" ht="12.75" customHeight="1" x14ac:dyDescent="0.2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/>
      <c r="AI901" s="62"/>
      <c r="AJ901" s="62"/>
      <c r="AK901" s="62"/>
      <c r="AL901" s="62"/>
      <c r="AM901" s="62"/>
      <c r="AN901" s="62"/>
    </row>
    <row r="902" spans="1:40" ht="12.75" customHeight="1" x14ac:dyDescent="0.2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/>
      <c r="AI902" s="62"/>
      <c r="AJ902" s="62"/>
      <c r="AK902" s="62"/>
      <c r="AL902" s="62"/>
      <c r="AM902" s="62"/>
      <c r="AN902" s="62"/>
    </row>
    <row r="903" spans="1:40" ht="12.75" customHeight="1" x14ac:dyDescent="0.2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  <c r="AM903" s="62"/>
      <c r="AN903" s="62"/>
    </row>
    <row r="904" spans="1:40" ht="12.75" customHeight="1" x14ac:dyDescent="0.2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/>
      <c r="AI904" s="62"/>
      <c r="AJ904" s="62"/>
      <c r="AK904" s="62"/>
      <c r="AL904" s="62"/>
      <c r="AM904" s="62"/>
      <c r="AN904" s="62"/>
    </row>
    <row r="905" spans="1:40" ht="12.75" customHeight="1" x14ac:dyDescent="0.2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/>
      <c r="AI905" s="62"/>
      <c r="AJ905" s="62"/>
      <c r="AK905" s="62"/>
      <c r="AL905" s="62"/>
      <c r="AM905" s="62"/>
      <c r="AN905" s="62"/>
    </row>
    <row r="906" spans="1:40" ht="12.75" customHeight="1" x14ac:dyDescent="0.2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/>
      <c r="AI906" s="62"/>
      <c r="AJ906" s="62"/>
      <c r="AK906" s="62"/>
      <c r="AL906" s="62"/>
      <c r="AM906" s="62"/>
      <c r="AN906" s="62"/>
    </row>
    <row r="907" spans="1:40" ht="12.75" customHeight="1" x14ac:dyDescent="0.2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  <c r="AM907" s="62"/>
      <c r="AN907" s="62"/>
    </row>
    <row r="908" spans="1:40" ht="12.75" customHeight="1" x14ac:dyDescent="0.2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/>
      <c r="AI908" s="62"/>
      <c r="AJ908" s="62"/>
      <c r="AK908" s="62"/>
      <c r="AL908" s="62"/>
      <c r="AM908" s="62"/>
      <c r="AN908" s="62"/>
    </row>
    <row r="909" spans="1:40" ht="12.75" customHeight="1" x14ac:dyDescent="0.2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2"/>
      <c r="AM909" s="62"/>
      <c r="AN909" s="62"/>
    </row>
    <row r="910" spans="1:40" ht="12.75" customHeight="1" x14ac:dyDescent="0.2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/>
      <c r="AI910" s="62"/>
      <c r="AJ910" s="62"/>
      <c r="AK910" s="62"/>
      <c r="AL910" s="62"/>
      <c r="AM910" s="62"/>
      <c r="AN910" s="62"/>
    </row>
    <row r="911" spans="1:40" ht="12.75" customHeight="1" x14ac:dyDescent="0.2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/>
      <c r="AI911" s="62"/>
      <c r="AJ911" s="62"/>
      <c r="AK911" s="62"/>
      <c r="AL911" s="62"/>
      <c r="AM911" s="62"/>
      <c r="AN911" s="62"/>
    </row>
    <row r="912" spans="1:40" ht="12.75" customHeight="1" x14ac:dyDescent="0.2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/>
      <c r="AI912" s="62"/>
      <c r="AJ912" s="62"/>
      <c r="AK912" s="62"/>
      <c r="AL912" s="62"/>
      <c r="AM912" s="62"/>
      <c r="AN912" s="62"/>
    </row>
    <row r="913" spans="1:40" ht="12.75" customHeight="1" x14ac:dyDescent="0.2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  <c r="AG913" s="62"/>
      <c r="AH913" s="62"/>
      <c r="AI913" s="62"/>
      <c r="AJ913" s="62"/>
      <c r="AK913" s="62"/>
      <c r="AL913" s="62"/>
      <c r="AM913" s="62"/>
      <c r="AN913" s="62"/>
    </row>
    <row r="914" spans="1:40" ht="12.75" customHeight="1" x14ac:dyDescent="0.2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/>
      <c r="AI914" s="62"/>
      <c r="AJ914" s="62"/>
      <c r="AK914" s="62"/>
      <c r="AL914" s="62"/>
      <c r="AM914" s="62"/>
      <c r="AN914" s="62"/>
    </row>
    <row r="915" spans="1:40" ht="12.75" customHeight="1" x14ac:dyDescent="0.2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/>
      <c r="AI915" s="62"/>
      <c r="AJ915" s="62"/>
      <c r="AK915" s="62"/>
      <c r="AL915" s="62"/>
      <c r="AM915" s="62"/>
      <c r="AN915" s="62"/>
    </row>
    <row r="916" spans="1:40" ht="12.75" customHeight="1" x14ac:dyDescent="0.2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/>
      <c r="AI916" s="62"/>
      <c r="AJ916" s="62"/>
      <c r="AK916" s="62"/>
      <c r="AL916" s="62"/>
      <c r="AM916" s="62"/>
      <c r="AN916" s="62"/>
    </row>
    <row r="917" spans="1:40" ht="12.75" customHeight="1" x14ac:dyDescent="0.2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  <c r="AM917" s="62"/>
      <c r="AN917" s="62"/>
    </row>
    <row r="918" spans="1:40" ht="12.75" customHeight="1" x14ac:dyDescent="0.2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  <c r="AM918" s="62"/>
      <c r="AN918" s="62"/>
    </row>
    <row r="919" spans="1:40" ht="12.75" customHeight="1" x14ac:dyDescent="0.2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/>
      <c r="AI919" s="62"/>
      <c r="AJ919" s="62"/>
      <c r="AK919" s="62"/>
      <c r="AL919" s="62"/>
      <c r="AM919" s="62"/>
      <c r="AN919" s="62"/>
    </row>
    <row r="920" spans="1:40" ht="12.75" customHeight="1" x14ac:dyDescent="0.2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</row>
    <row r="921" spans="1:40" ht="12.75" customHeight="1" x14ac:dyDescent="0.2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/>
      <c r="AI921" s="62"/>
      <c r="AJ921" s="62"/>
      <c r="AK921" s="62"/>
      <c r="AL921" s="62"/>
      <c r="AM921" s="62"/>
      <c r="AN921" s="62"/>
    </row>
    <row r="922" spans="1:40" ht="12.75" customHeight="1" x14ac:dyDescent="0.2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/>
      <c r="AI922" s="62"/>
      <c r="AJ922" s="62"/>
      <c r="AK922" s="62"/>
      <c r="AL922" s="62"/>
      <c r="AM922" s="62"/>
      <c r="AN922" s="62"/>
    </row>
    <row r="923" spans="1:40" ht="12.75" customHeight="1" x14ac:dyDescent="0.2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/>
      <c r="AI923" s="62"/>
      <c r="AJ923" s="62"/>
      <c r="AK923" s="62"/>
      <c r="AL923" s="62"/>
      <c r="AM923" s="62"/>
      <c r="AN923" s="62"/>
    </row>
    <row r="924" spans="1:40" ht="12.75" customHeight="1" x14ac:dyDescent="0.2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/>
      <c r="AI924" s="62"/>
      <c r="AJ924" s="62"/>
      <c r="AK924" s="62"/>
      <c r="AL924" s="62"/>
      <c r="AM924" s="62"/>
      <c r="AN924" s="62"/>
    </row>
    <row r="925" spans="1:40" ht="12.75" customHeight="1" x14ac:dyDescent="0.2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/>
      <c r="AI925" s="62"/>
      <c r="AJ925" s="62"/>
      <c r="AK925" s="62"/>
      <c r="AL925" s="62"/>
      <c r="AM925" s="62"/>
      <c r="AN925" s="62"/>
    </row>
    <row r="926" spans="1:40" ht="12.75" customHeight="1" x14ac:dyDescent="0.2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/>
      <c r="AI926" s="62"/>
      <c r="AJ926" s="62"/>
      <c r="AK926" s="62"/>
      <c r="AL926" s="62"/>
      <c r="AM926" s="62"/>
      <c r="AN926" s="62"/>
    </row>
    <row r="927" spans="1:40" ht="12.75" customHeight="1" x14ac:dyDescent="0.2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/>
      <c r="AI927" s="62"/>
      <c r="AJ927" s="62"/>
      <c r="AK927" s="62"/>
      <c r="AL927" s="62"/>
      <c r="AM927" s="62"/>
      <c r="AN927" s="62"/>
    </row>
    <row r="928" spans="1:40" ht="12.75" customHeight="1" x14ac:dyDescent="0.2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  <c r="AM928" s="62"/>
      <c r="AN928" s="62"/>
    </row>
    <row r="929" spans="1:40" ht="12.75" customHeight="1" x14ac:dyDescent="0.2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  <c r="AM929" s="62"/>
      <c r="AN929" s="62"/>
    </row>
    <row r="930" spans="1:40" ht="12.75" customHeight="1" x14ac:dyDescent="0.2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/>
      <c r="AI930" s="62"/>
      <c r="AJ930" s="62"/>
      <c r="AK930" s="62"/>
      <c r="AL930" s="62"/>
      <c r="AM930" s="62"/>
      <c r="AN930" s="62"/>
    </row>
    <row r="931" spans="1:40" ht="12.75" customHeight="1" x14ac:dyDescent="0.2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/>
      <c r="AI931" s="62"/>
      <c r="AJ931" s="62"/>
      <c r="AK931" s="62"/>
      <c r="AL931" s="62"/>
      <c r="AM931" s="62"/>
      <c r="AN931" s="62"/>
    </row>
    <row r="932" spans="1:40" ht="12.75" customHeight="1" x14ac:dyDescent="0.2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/>
      <c r="AI932" s="62"/>
      <c r="AJ932" s="62"/>
      <c r="AK932" s="62"/>
      <c r="AL932" s="62"/>
      <c r="AM932" s="62"/>
      <c r="AN932" s="62"/>
    </row>
    <row r="933" spans="1:40" ht="12.75" customHeight="1" x14ac:dyDescent="0.2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/>
      <c r="AI933" s="62"/>
      <c r="AJ933" s="62"/>
      <c r="AK933" s="62"/>
      <c r="AL933" s="62"/>
      <c r="AM933" s="62"/>
      <c r="AN933" s="62"/>
    </row>
    <row r="934" spans="1:40" ht="12.75" customHeight="1" x14ac:dyDescent="0.2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/>
      <c r="AI934" s="62"/>
      <c r="AJ934" s="62"/>
      <c r="AK934" s="62"/>
      <c r="AL934" s="62"/>
      <c r="AM934" s="62"/>
      <c r="AN934" s="62"/>
    </row>
    <row r="935" spans="1:40" ht="12.75" customHeight="1" x14ac:dyDescent="0.2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  <c r="AM935" s="62"/>
      <c r="AN935" s="62"/>
    </row>
    <row r="936" spans="1:40" ht="12.75" customHeight="1" x14ac:dyDescent="0.2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  <c r="AM936" s="62"/>
      <c r="AN936" s="62"/>
    </row>
    <row r="937" spans="1:40" ht="12.75" customHeight="1" x14ac:dyDescent="0.2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/>
      <c r="AI937" s="62"/>
      <c r="AJ937" s="62"/>
      <c r="AK937" s="62"/>
      <c r="AL937" s="62"/>
      <c r="AM937" s="62"/>
      <c r="AN937" s="62"/>
    </row>
    <row r="938" spans="1:40" ht="12.75" customHeight="1" x14ac:dyDescent="0.2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/>
      <c r="AI938" s="62"/>
      <c r="AJ938" s="62"/>
      <c r="AK938" s="62"/>
      <c r="AL938" s="62"/>
      <c r="AM938" s="62"/>
      <c r="AN938" s="62"/>
    </row>
    <row r="939" spans="1:40" ht="12.75" customHeight="1" x14ac:dyDescent="0.2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/>
      <c r="AI939" s="62"/>
      <c r="AJ939" s="62"/>
      <c r="AK939" s="62"/>
      <c r="AL939" s="62"/>
      <c r="AM939" s="62"/>
      <c r="AN939" s="62"/>
    </row>
    <row r="940" spans="1:40" ht="12.75" customHeight="1" x14ac:dyDescent="0.2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  <c r="AM940" s="62"/>
      <c r="AN940" s="62"/>
    </row>
    <row r="941" spans="1:40" ht="12.75" customHeight="1" x14ac:dyDescent="0.2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  <c r="AM941" s="62"/>
      <c r="AN941" s="62"/>
    </row>
    <row r="942" spans="1:40" ht="12.75" customHeight="1" x14ac:dyDescent="0.2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  <c r="AM942" s="62"/>
      <c r="AN942" s="62"/>
    </row>
    <row r="943" spans="1:40" ht="12.75" customHeight="1" x14ac:dyDescent="0.2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/>
      <c r="AI943" s="62"/>
      <c r="AJ943" s="62"/>
      <c r="AK943" s="62"/>
      <c r="AL943" s="62"/>
      <c r="AM943" s="62"/>
      <c r="AN943" s="62"/>
    </row>
    <row r="944" spans="1:40" ht="12.75" customHeight="1" x14ac:dyDescent="0.2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  <c r="AM944" s="62"/>
      <c r="AN944" s="62"/>
    </row>
    <row r="945" spans="1:40" ht="12.75" customHeight="1" x14ac:dyDescent="0.2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/>
      <c r="AI945" s="62"/>
      <c r="AJ945" s="62"/>
      <c r="AK945" s="62"/>
      <c r="AL945" s="62"/>
      <c r="AM945" s="62"/>
      <c r="AN945" s="62"/>
    </row>
    <row r="946" spans="1:40" ht="12.75" customHeight="1" x14ac:dyDescent="0.2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/>
      <c r="AI946" s="62"/>
      <c r="AJ946" s="62"/>
      <c r="AK946" s="62"/>
      <c r="AL946" s="62"/>
      <c r="AM946" s="62"/>
      <c r="AN946" s="62"/>
    </row>
    <row r="947" spans="1:40" ht="12.75" customHeight="1" x14ac:dyDescent="0.2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/>
      <c r="AI947" s="62"/>
      <c r="AJ947" s="62"/>
      <c r="AK947" s="62"/>
      <c r="AL947" s="62"/>
      <c r="AM947" s="62"/>
      <c r="AN947" s="62"/>
    </row>
    <row r="948" spans="1:40" ht="12.75" customHeight="1" x14ac:dyDescent="0.2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/>
      <c r="AI948" s="62"/>
      <c r="AJ948" s="62"/>
      <c r="AK948" s="62"/>
      <c r="AL948" s="62"/>
      <c r="AM948" s="62"/>
      <c r="AN948" s="62"/>
    </row>
    <row r="949" spans="1:40" ht="12.75" customHeight="1" x14ac:dyDescent="0.2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  <c r="AM949" s="62"/>
      <c r="AN949" s="62"/>
    </row>
    <row r="950" spans="1:40" ht="12.75" customHeight="1" x14ac:dyDescent="0.2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  <c r="AM950" s="62"/>
      <c r="AN950" s="62"/>
    </row>
    <row r="951" spans="1:40" ht="12.75" customHeight="1" x14ac:dyDescent="0.2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/>
      <c r="AI951" s="62"/>
      <c r="AJ951" s="62"/>
      <c r="AK951" s="62"/>
      <c r="AL951" s="62"/>
      <c r="AM951" s="62"/>
      <c r="AN951" s="62"/>
    </row>
    <row r="952" spans="1:40" ht="12.75" customHeight="1" x14ac:dyDescent="0.2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  <c r="AM952" s="62"/>
      <c r="AN952" s="62"/>
    </row>
    <row r="953" spans="1:40" ht="12.75" customHeight="1" x14ac:dyDescent="0.2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/>
      <c r="AI953" s="62"/>
      <c r="AJ953" s="62"/>
      <c r="AK953" s="62"/>
      <c r="AL953" s="62"/>
      <c r="AM953" s="62"/>
      <c r="AN953" s="62"/>
    </row>
    <row r="954" spans="1:40" ht="12.75" customHeight="1" x14ac:dyDescent="0.2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/>
      <c r="AI954" s="62"/>
      <c r="AJ954" s="62"/>
      <c r="AK954" s="62"/>
      <c r="AL954" s="62"/>
      <c r="AM954" s="62"/>
      <c r="AN954" s="62"/>
    </row>
    <row r="955" spans="1:40" ht="12.75" customHeight="1" x14ac:dyDescent="0.2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/>
      <c r="AI955" s="62"/>
      <c r="AJ955" s="62"/>
      <c r="AK955" s="62"/>
      <c r="AL955" s="62"/>
      <c r="AM955" s="62"/>
      <c r="AN955" s="62"/>
    </row>
    <row r="956" spans="1:40" ht="12.75" customHeight="1" x14ac:dyDescent="0.2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  <c r="AM956" s="62"/>
      <c r="AN956" s="62"/>
    </row>
    <row r="957" spans="1:40" ht="12.75" customHeight="1" x14ac:dyDescent="0.2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  <c r="AM957" s="62"/>
      <c r="AN957" s="62"/>
    </row>
    <row r="958" spans="1:40" ht="12.75" customHeight="1" x14ac:dyDescent="0.2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  <c r="AM958" s="62"/>
      <c r="AN958" s="62"/>
    </row>
    <row r="959" spans="1:40" ht="12.75" customHeight="1" x14ac:dyDescent="0.2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  <c r="AM959" s="62"/>
      <c r="AN959" s="62"/>
    </row>
    <row r="960" spans="1:40" ht="12.75" customHeight="1" x14ac:dyDescent="0.2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/>
      <c r="AI960" s="62"/>
      <c r="AJ960" s="62"/>
      <c r="AK960" s="62"/>
      <c r="AL960" s="62"/>
      <c r="AM960" s="62"/>
      <c r="AN960" s="62"/>
    </row>
    <row r="961" spans="1:40" ht="12.75" customHeight="1" x14ac:dyDescent="0.2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  <c r="AM961" s="62"/>
      <c r="AN961" s="62"/>
    </row>
    <row r="962" spans="1:40" ht="12.75" customHeight="1" x14ac:dyDescent="0.2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  <c r="AM962" s="62"/>
      <c r="AN962" s="62"/>
    </row>
    <row r="963" spans="1:40" ht="12.75" customHeight="1" x14ac:dyDescent="0.2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  <c r="AM963" s="62"/>
      <c r="AN963" s="62"/>
    </row>
    <row r="964" spans="1:40" ht="12.75" customHeight="1" x14ac:dyDescent="0.2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  <c r="AM964" s="62"/>
      <c r="AN964" s="62"/>
    </row>
    <row r="965" spans="1:40" ht="12.75" customHeight="1" x14ac:dyDescent="0.2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  <c r="AM965" s="62"/>
      <c r="AN965" s="62"/>
    </row>
    <row r="966" spans="1:40" ht="12.75" customHeight="1" x14ac:dyDescent="0.2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/>
      <c r="AI966" s="62"/>
      <c r="AJ966" s="62"/>
      <c r="AK966" s="62"/>
      <c r="AL966" s="62"/>
      <c r="AM966" s="62"/>
      <c r="AN966" s="62"/>
    </row>
    <row r="967" spans="1:40" ht="12.75" customHeight="1" x14ac:dyDescent="0.2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/>
      <c r="AI967" s="62"/>
      <c r="AJ967" s="62"/>
      <c r="AK967" s="62"/>
      <c r="AL967" s="62"/>
      <c r="AM967" s="62"/>
      <c r="AN967" s="62"/>
    </row>
    <row r="968" spans="1:40" ht="12.75" customHeight="1" x14ac:dyDescent="0.2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/>
      <c r="AI968" s="62"/>
      <c r="AJ968" s="62"/>
      <c r="AK968" s="62"/>
      <c r="AL968" s="62"/>
      <c r="AM968" s="62"/>
      <c r="AN968" s="62"/>
    </row>
    <row r="969" spans="1:40" ht="12.75" customHeight="1" x14ac:dyDescent="0.2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/>
      <c r="AH969" s="62"/>
      <c r="AI969" s="62"/>
      <c r="AJ969" s="62"/>
      <c r="AK969" s="62"/>
      <c r="AL969" s="62"/>
      <c r="AM969" s="62"/>
      <c r="AN969" s="62"/>
    </row>
    <row r="970" spans="1:40" ht="12.75" customHeight="1" x14ac:dyDescent="0.2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  <c r="AM970" s="62"/>
      <c r="AN970" s="62"/>
    </row>
    <row r="971" spans="1:40" ht="12.75" customHeight="1" x14ac:dyDescent="0.2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  <c r="AM971" s="62"/>
      <c r="AN971" s="62"/>
    </row>
    <row r="972" spans="1:40" ht="12.75" customHeight="1" x14ac:dyDescent="0.2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/>
      <c r="AI972" s="62"/>
      <c r="AJ972" s="62"/>
      <c r="AK972" s="62"/>
      <c r="AL972" s="62"/>
      <c r="AM972" s="62"/>
      <c r="AN972" s="62"/>
    </row>
    <row r="973" spans="1:40" ht="12.75" customHeight="1" x14ac:dyDescent="0.2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</row>
    <row r="974" spans="1:40" ht="12.75" customHeight="1" x14ac:dyDescent="0.2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/>
      <c r="AI974" s="62"/>
      <c r="AJ974" s="62"/>
      <c r="AK974" s="62"/>
      <c r="AL974" s="62"/>
      <c r="AM974" s="62"/>
      <c r="AN974" s="62"/>
    </row>
    <row r="975" spans="1:40" ht="12.75" customHeight="1" x14ac:dyDescent="0.2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  <c r="AM975" s="62"/>
      <c r="AN975" s="62"/>
    </row>
    <row r="976" spans="1:40" ht="12.75" customHeight="1" x14ac:dyDescent="0.2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  <c r="AM976" s="62"/>
      <c r="AN976" s="62"/>
    </row>
    <row r="977" spans="1:40" ht="12.75" customHeight="1" x14ac:dyDescent="0.2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  <c r="AM977" s="62"/>
      <c r="AN977" s="62"/>
    </row>
    <row r="978" spans="1:40" ht="12.75" customHeight="1" x14ac:dyDescent="0.2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/>
      <c r="AI978" s="62"/>
      <c r="AJ978" s="62"/>
      <c r="AK978" s="62"/>
      <c r="AL978" s="62"/>
      <c r="AM978" s="62"/>
      <c r="AN978" s="62"/>
    </row>
    <row r="979" spans="1:40" ht="12.75" customHeight="1" x14ac:dyDescent="0.2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  <c r="AM979" s="62"/>
      <c r="AN979" s="62"/>
    </row>
    <row r="980" spans="1:40" ht="12.75" customHeight="1" x14ac:dyDescent="0.2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  <c r="AM980" s="62"/>
      <c r="AN980" s="62"/>
    </row>
    <row r="981" spans="1:40" ht="12.75" customHeight="1" x14ac:dyDescent="0.2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</row>
    <row r="982" spans="1:40" ht="12.75" customHeight="1" x14ac:dyDescent="0.2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  <c r="AM982" s="62"/>
      <c r="AN982" s="62"/>
    </row>
    <row r="983" spans="1:40" ht="12.75" customHeight="1" x14ac:dyDescent="0.2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/>
      <c r="AI983" s="62"/>
      <c r="AJ983" s="62"/>
      <c r="AK983" s="62"/>
      <c r="AL983" s="62"/>
      <c r="AM983" s="62"/>
      <c r="AN983" s="62"/>
    </row>
    <row r="984" spans="1:40" ht="12.75" customHeight="1" x14ac:dyDescent="0.2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</row>
    <row r="985" spans="1:40" ht="12.75" customHeight="1" x14ac:dyDescent="0.2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  <c r="AM985" s="62"/>
      <c r="AN985" s="62"/>
    </row>
    <row r="986" spans="1:40" ht="12.75" customHeight="1" x14ac:dyDescent="0.2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/>
      <c r="AI986" s="62"/>
      <c r="AJ986" s="62"/>
      <c r="AK986" s="62"/>
      <c r="AL986" s="62"/>
      <c r="AM986" s="62"/>
      <c r="AN986" s="62"/>
    </row>
    <row r="987" spans="1:40" ht="12.75" customHeight="1" x14ac:dyDescent="0.2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  <c r="AM987" s="62"/>
      <c r="AN987" s="62"/>
    </row>
    <row r="988" spans="1:40" ht="12.75" customHeight="1" x14ac:dyDescent="0.2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  <c r="AM988" s="62"/>
      <c r="AN988" s="62"/>
    </row>
    <row r="989" spans="1:40" ht="12.75" customHeight="1" x14ac:dyDescent="0.2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  <c r="AM989" s="62"/>
      <c r="AN989" s="62"/>
    </row>
    <row r="990" spans="1:40" ht="12.75" customHeight="1" x14ac:dyDescent="0.2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/>
      <c r="AI990" s="62"/>
      <c r="AJ990" s="62"/>
      <c r="AK990" s="62"/>
      <c r="AL990" s="62"/>
      <c r="AM990" s="62"/>
      <c r="AN990" s="62"/>
    </row>
    <row r="991" spans="1:40" ht="12.75" customHeight="1" x14ac:dyDescent="0.2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/>
      <c r="AI991" s="62"/>
      <c r="AJ991" s="62"/>
      <c r="AK991" s="62"/>
      <c r="AL991" s="62"/>
      <c r="AM991" s="62"/>
      <c r="AN991" s="62"/>
    </row>
    <row r="992" spans="1:40" ht="12.75" customHeight="1" x14ac:dyDescent="0.2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  <c r="AG992" s="62"/>
      <c r="AH992" s="62"/>
      <c r="AI992" s="62"/>
      <c r="AJ992" s="62"/>
      <c r="AK992" s="62"/>
      <c r="AL992" s="62"/>
      <c r="AM992" s="62"/>
      <c r="AN992" s="62"/>
    </row>
    <row r="993" spans="1:40" ht="12.75" customHeight="1" x14ac:dyDescent="0.2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/>
      <c r="AI993" s="62"/>
      <c r="AJ993" s="62"/>
      <c r="AK993" s="62"/>
      <c r="AL993" s="62"/>
      <c r="AM993" s="62"/>
      <c r="AN993" s="62"/>
    </row>
    <row r="994" spans="1:40" ht="12.75" customHeight="1" x14ac:dyDescent="0.2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  <c r="AM994" s="62"/>
      <c r="AN994" s="62"/>
    </row>
    <row r="995" spans="1:40" ht="12.75" customHeight="1" x14ac:dyDescent="0.2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/>
      <c r="AI995" s="62"/>
      <c r="AJ995" s="62"/>
      <c r="AK995" s="62"/>
      <c r="AL995" s="62"/>
      <c r="AM995" s="62"/>
      <c r="AN995" s="62"/>
    </row>
    <row r="996" spans="1:40" ht="12.75" customHeight="1" x14ac:dyDescent="0.2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/>
      <c r="AI996" s="62"/>
      <c r="AJ996" s="62"/>
      <c r="AK996" s="62"/>
      <c r="AL996" s="62"/>
      <c r="AM996" s="62"/>
      <c r="AN996" s="62"/>
    </row>
    <row r="997" spans="1:40" ht="12.75" customHeight="1" x14ac:dyDescent="0.2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/>
      <c r="AI997" s="62"/>
      <c r="AJ997" s="62"/>
      <c r="AK997" s="62"/>
      <c r="AL997" s="62"/>
      <c r="AM997" s="62"/>
      <c r="AN997" s="62"/>
    </row>
    <row r="998" spans="1:40" ht="12.75" customHeight="1" x14ac:dyDescent="0.2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  <c r="AG998" s="62"/>
      <c r="AH998" s="62"/>
      <c r="AI998" s="62"/>
      <c r="AJ998" s="62"/>
      <c r="AK998" s="62"/>
      <c r="AL998" s="62"/>
      <c r="AM998" s="62"/>
      <c r="AN998" s="62"/>
    </row>
    <row r="999" spans="1:40" ht="12.75" customHeight="1" x14ac:dyDescent="0.2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  <c r="AG999" s="62"/>
      <c r="AH999" s="62"/>
      <c r="AI999" s="62"/>
      <c r="AJ999" s="62"/>
      <c r="AK999" s="62"/>
      <c r="AL999" s="62"/>
      <c r="AM999" s="62"/>
      <c r="AN999" s="62"/>
    </row>
    <row r="1000" spans="1:40" ht="12.75" customHeight="1" x14ac:dyDescent="0.2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  <c r="AD1000" s="62"/>
      <c r="AE1000" s="62"/>
      <c r="AF1000" s="62"/>
      <c r="AG1000" s="62"/>
      <c r="AH1000" s="62"/>
      <c r="AI1000" s="62"/>
      <c r="AJ1000" s="62"/>
      <c r="AK1000" s="62"/>
      <c r="AL1000" s="62"/>
      <c r="AM1000" s="62"/>
      <c r="AN1000" s="62"/>
    </row>
  </sheetData>
  <mergeCells count="4">
    <mergeCell ref="I2:AD2"/>
    <mergeCell ref="I4:AD4"/>
    <mergeCell ref="I6:I7"/>
    <mergeCell ref="AD6:AD7"/>
  </mergeCells>
  <pageMargins left="0.7" right="0.7" top="0.75" bottom="0.75" header="0" footer="0"/>
  <pageSetup orientation="landscape"/>
  <headerFooter>
    <oddFooter>&amp;C1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1.21875" defaultRowHeight="15" customHeight="1" x14ac:dyDescent="0.2"/>
  <cols>
    <col min="1" max="1" width="3.77734375" customWidth="1"/>
    <col min="2" max="2" width="10.44140625" customWidth="1"/>
    <col min="3" max="4" width="10.77734375" customWidth="1"/>
    <col min="5" max="5" width="10" customWidth="1"/>
    <col min="6" max="6" width="10.77734375" customWidth="1"/>
    <col min="7" max="7" width="9.77734375" customWidth="1"/>
    <col min="8" max="8" width="4.21875" customWidth="1"/>
    <col min="9" max="10" width="6.77734375" customWidth="1"/>
    <col min="11" max="12" width="11.109375" customWidth="1"/>
    <col min="13" max="21" width="8.77734375" customWidth="1"/>
    <col min="22" max="26" width="8" customWidth="1"/>
  </cols>
  <sheetData>
    <row r="1" spans="1:26" ht="12.75" customHeight="1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62"/>
      <c r="W1" s="62"/>
      <c r="X1" s="62"/>
      <c r="Y1" s="62"/>
      <c r="Z1" s="62"/>
    </row>
    <row r="2" spans="1:26" ht="24.75" customHeight="1" x14ac:dyDescent="0.2">
      <c r="A2" s="109"/>
      <c r="B2" s="352" t="s">
        <v>120</v>
      </c>
      <c r="C2" s="298"/>
      <c r="D2" s="298"/>
      <c r="E2" s="298"/>
      <c r="F2" s="298"/>
      <c r="G2" s="298"/>
      <c r="H2" s="298"/>
      <c r="I2" s="298"/>
      <c r="J2" s="298"/>
      <c r="K2" s="35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62"/>
      <c r="W2" s="62"/>
      <c r="X2" s="62"/>
      <c r="Y2" s="62"/>
      <c r="Z2" s="62"/>
    </row>
    <row r="3" spans="1:26" ht="12.75" customHeight="1" x14ac:dyDescent="0.2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62"/>
      <c r="W3" s="62"/>
      <c r="X3" s="62"/>
      <c r="Y3" s="62"/>
      <c r="Z3" s="62"/>
    </row>
    <row r="4" spans="1:26" ht="31.5" customHeight="1" x14ac:dyDescent="0.2">
      <c r="A4" s="109"/>
      <c r="B4" s="109"/>
      <c r="C4" s="311" t="s">
        <v>121</v>
      </c>
      <c r="D4" s="313"/>
      <c r="E4" s="110" t="s">
        <v>26</v>
      </c>
      <c r="F4" s="110" t="s">
        <v>27</v>
      </c>
      <c r="G4" s="110" t="s">
        <v>28</v>
      </c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62"/>
      <c r="W4" s="62"/>
      <c r="X4" s="62"/>
      <c r="Y4" s="62"/>
      <c r="Z4" s="62"/>
    </row>
    <row r="5" spans="1:26" ht="18" customHeight="1" x14ac:dyDescent="0.2">
      <c r="A5" s="109"/>
      <c r="B5" s="109"/>
      <c r="C5" s="351">
        <v>20000</v>
      </c>
      <c r="D5" s="282"/>
      <c r="E5" s="111">
        <v>20</v>
      </c>
      <c r="F5" s="111">
        <v>3</v>
      </c>
      <c r="G5" s="112">
        <v>1</v>
      </c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62"/>
      <c r="W5" s="62"/>
      <c r="X5" s="62"/>
      <c r="Y5" s="62"/>
      <c r="Z5" s="62"/>
    </row>
    <row r="6" spans="1:26" ht="12.75" customHeight="1" x14ac:dyDescent="0.2">
      <c r="A6" s="109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62"/>
      <c r="W6" s="62"/>
      <c r="X6" s="62"/>
      <c r="Y6" s="62"/>
      <c r="Z6" s="62"/>
    </row>
    <row r="7" spans="1:26" ht="12.75" customHeight="1" x14ac:dyDescent="0.2">
      <c r="A7" s="109"/>
      <c r="B7" s="113"/>
      <c r="C7" s="114"/>
      <c r="D7" s="114"/>
      <c r="E7" s="114"/>
      <c r="F7" s="114"/>
      <c r="G7" s="115">
        <f>G5/100</f>
        <v>0.01</v>
      </c>
      <c r="H7" s="114"/>
      <c r="I7" s="114"/>
      <c r="J7" s="114"/>
      <c r="K7" s="116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62"/>
      <c r="W7" s="62"/>
      <c r="X7" s="62"/>
      <c r="Y7" s="62"/>
      <c r="Z7" s="62"/>
    </row>
    <row r="8" spans="1:26" ht="12.75" customHeight="1" x14ac:dyDescent="0.2">
      <c r="A8" s="109"/>
      <c r="B8" s="117" t="s">
        <v>122</v>
      </c>
      <c r="C8" s="117" t="s">
        <v>123</v>
      </c>
      <c r="D8" s="117" t="s">
        <v>124</v>
      </c>
      <c r="E8" s="117" t="s">
        <v>125</v>
      </c>
      <c r="F8" s="117" t="s">
        <v>126</v>
      </c>
      <c r="G8" s="117" t="s">
        <v>127</v>
      </c>
      <c r="H8" s="117" t="s">
        <v>128</v>
      </c>
      <c r="I8" s="118" t="s">
        <v>129</v>
      </c>
      <c r="J8" s="117" t="s">
        <v>130</v>
      </c>
      <c r="K8" s="117" t="s">
        <v>131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62"/>
      <c r="W8" s="62"/>
      <c r="X8" s="62"/>
      <c r="Y8" s="62"/>
      <c r="Z8" s="62"/>
    </row>
    <row r="9" spans="1:26" ht="12.75" customHeight="1" x14ac:dyDescent="0.2">
      <c r="A9" s="109"/>
      <c r="B9" s="119"/>
      <c r="C9" s="120"/>
      <c r="D9" s="120"/>
      <c r="E9" s="120"/>
      <c r="F9" s="120"/>
      <c r="G9" s="121">
        <f>C5</f>
        <v>20000</v>
      </c>
      <c r="H9" s="120"/>
      <c r="I9" s="121"/>
      <c r="J9" s="122"/>
      <c r="K9" s="123">
        <f>G9</f>
        <v>20000</v>
      </c>
      <c r="L9" s="109"/>
      <c r="M9" s="124"/>
      <c r="N9" s="109"/>
      <c r="O9" s="109"/>
      <c r="P9" s="109"/>
      <c r="Q9" s="109"/>
      <c r="R9" s="109"/>
      <c r="S9" s="109"/>
      <c r="T9" s="109"/>
      <c r="U9" s="109"/>
      <c r="V9" s="62"/>
      <c r="W9" s="62"/>
      <c r="X9" s="62"/>
      <c r="Y9" s="62"/>
      <c r="Z9" s="62"/>
    </row>
    <row r="10" spans="1:26" ht="12.75" customHeight="1" x14ac:dyDescent="0.2">
      <c r="A10" s="109"/>
      <c r="B10" s="125">
        <f>C10+B9</f>
        <v>200</v>
      </c>
      <c r="C10" s="121">
        <f t="shared" ref="C10:C29" si="0">ROUND(G9*$G$7,2)</f>
        <v>200</v>
      </c>
      <c r="D10" s="121">
        <f t="shared" ref="D10:D29" si="1">ROUND(IF(J10="Sim",0,B10*I10),2)</f>
        <v>0</v>
      </c>
      <c r="E10" s="121">
        <f>TRUNC(IF(H10=$E$5,$C$5,TRUNC(IF(H10&gt;$E$5,0,IF(J10="Sim",0,$G$9/($E$5-$F$5))),2)),2)</f>
        <v>0</v>
      </c>
      <c r="F10" s="121">
        <f t="shared" ref="F10:F29" si="2">E10+D10</f>
        <v>0</v>
      </c>
      <c r="G10" s="121">
        <f t="shared" ref="G10:G29" si="3">G9+C10-F10</f>
        <v>20200</v>
      </c>
      <c r="H10" s="120">
        <v>1</v>
      </c>
      <c r="I10" s="126">
        <f t="shared" ref="I10:I29" si="4">IF(K9=0,0,E10/K9)</f>
        <v>0</v>
      </c>
      <c r="J10" s="122" t="str">
        <f t="shared" ref="J10:J29" si="5">IF(H10&lt;=$F$5,"Sim","Não")</f>
        <v>Sim</v>
      </c>
      <c r="K10" s="123">
        <f t="shared" ref="K10:K29" si="6">K9-E10</f>
        <v>20000</v>
      </c>
      <c r="L10" s="109"/>
      <c r="M10" s="124"/>
      <c r="N10" s="109"/>
      <c r="O10" s="109"/>
      <c r="P10" s="109"/>
      <c r="Q10" s="109"/>
      <c r="R10" s="109"/>
      <c r="S10" s="109"/>
      <c r="T10" s="109"/>
      <c r="U10" s="109"/>
      <c r="V10" s="62"/>
      <c r="W10" s="62"/>
      <c r="X10" s="62"/>
      <c r="Y10" s="62"/>
      <c r="Z10" s="62"/>
    </row>
    <row r="11" spans="1:26" ht="12.75" customHeight="1" x14ac:dyDescent="0.2">
      <c r="A11" s="109"/>
      <c r="B11" s="125">
        <f t="shared" ref="B11:B29" si="7">C11+B10-D10</f>
        <v>402</v>
      </c>
      <c r="C11" s="121">
        <f t="shared" si="0"/>
        <v>202</v>
      </c>
      <c r="D11" s="121">
        <f t="shared" si="1"/>
        <v>0</v>
      </c>
      <c r="E11" s="121">
        <f t="shared" ref="E11:E29" si="8">TRUNC(IF(H11=$E$5,ROUND($C$5-SUM($E$10:E10),2),TRUNC(IF(H11&gt;$E$5,0,IF(J11="Sim",0,$G$9/($E$5-$F$5))),2)),2)</f>
        <v>0</v>
      </c>
      <c r="F11" s="121">
        <f t="shared" si="2"/>
        <v>0</v>
      </c>
      <c r="G11" s="121">
        <f t="shared" si="3"/>
        <v>20402</v>
      </c>
      <c r="H11" s="120">
        <v>2</v>
      </c>
      <c r="I11" s="126">
        <f t="shared" si="4"/>
        <v>0</v>
      </c>
      <c r="J11" s="122" t="str">
        <f t="shared" si="5"/>
        <v>Sim</v>
      </c>
      <c r="K11" s="123">
        <f t="shared" si="6"/>
        <v>20000</v>
      </c>
      <c r="L11" s="109"/>
      <c r="M11" s="124"/>
      <c r="N11" s="109"/>
      <c r="O11" s="109"/>
      <c r="P11" s="109"/>
      <c r="Q11" s="109"/>
      <c r="R11" s="109"/>
      <c r="S11" s="109"/>
      <c r="T11" s="109"/>
      <c r="U11" s="109"/>
      <c r="V11" s="62"/>
      <c r="W11" s="62"/>
      <c r="X11" s="62"/>
      <c r="Y11" s="62"/>
      <c r="Z11" s="62"/>
    </row>
    <row r="12" spans="1:26" ht="12.75" customHeight="1" x14ac:dyDescent="0.2">
      <c r="A12" s="109"/>
      <c r="B12" s="125">
        <f t="shared" si="7"/>
        <v>606.02</v>
      </c>
      <c r="C12" s="121">
        <f t="shared" si="0"/>
        <v>204.02</v>
      </c>
      <c r="D12" s="121">
        <f t="shared" si="1"/>
        <v>0</v>
      </c>
      <c r="E12" s="121">
        <f t="shared" si="8"/>
        <v>0</v>
      </c>
      <c r="F12" s="121">
        <f t="shared" si="2"/>
        <v>0</v>
      </c>
      <c r="G12" s="121">
        <f t="shared" si="3"/>
        <v>20606.02</v>
      </c>
      <c r="H12" s="120">
        <v>3</v>
      </c>
      <c r="I12" s="126">
        <f t="shared" si="4"/>
        <v>0</v>
      </c>
      <c r="J12" s="122" t="str">
        <f t="shared" si="5"/>
        <v>Sim</v>
      </c>
      <c r="K12" s="123">
        <f t="shared" si="6"/>
        <v>20000</v>
      </c>
      <c r="L12" s="109"/>
      <c r="M12" s="124"/>
      <c r="N12" s="109"/>
      <c r="O12" s="109"/>
      <c r="P12" s="109"/>
      <c r="Q12" s="109"/>
      <c r="R12" s="109"/>
      <c r="S12" s="109"/>
      <c r="T12" s="109"/>
      <c r="U12" s="109"/>
      <c r="V12" s="62"/>
      <c r="W12" s="62"/>
      <c r="X12" s="62"/>
      <c r="Y12" s="62"/>
      <c r="Z12" s="62"/>
    </row>
    <row r="13" spans="1:26" ht="12.75" customHeight="1" x14ac:dyDescent="0.2">
      <c r="A13" s="109"/>
      <c r="B13" s="125">
        <f t="shared" si="7"/>
        <v>812.07999999999993</v>
      </c>
      <c r="C13" s="121">
        <f t="shared" si="0"/>
        <v>206.06</v>
      </c>
      <c r="D13" s="121">
        <f t="shared" si="1"/>
        <v>47.77</v>
      </c>
      <c r="E13" s="121">
        <f t="shared" si="8"/>
        <v>1176.47</v>
      </c>
      <c r="F13" s="121">
        <f t="shared" si="2"/>
        <v>1224.24</v>
      </c>
      <c r="G13" s="121">
        <f t="shared" si="3"/>
        <v>19587.84</v>
      </c>
      <c r="H13" s="120">
        <v>4</v>
      </c>
      <c r="I13" s="126">
        <f t="shared" si="4"/>
        <v>5.8823500000000001E-2</v>
      </c>
      <c r="J13" s="122" t="str">
        <f t="shared" si="5"/>
        <v>Não</v>
      </c>
      <c r="K13" s="123">
        <f t="shared" si="6"/>
        <v>18823.53</v>
      </c>
      <c r="L13" s="109"/>
      <c r="M13" s="124"/>
      <c r="N13" s="109"/>
      <c r="O13" s="109"/>
      <c r="P13" s="109"/>
      <c r="Q13" s="109"/>
      <c r="R13" s="109"/>
      <c r="S13" s="109"/>
      <c r="T13" s="109"/>
      <c r="U13" s="109"/>
      <c r="V13" s="62"/>
      <c r="W13" s="62"/>
      <c r="X13" s="62"/>
      <c r="Y13" s="62"/>
      <c r="Z13" s="62"/>
    </row>
    <row r="14" spans="1:26" ht="12.75" customHeight="1" x14ac:dyDescent="0.2">
      <c r="A14" s="109"/>
      <c r="B14" s="125">
        <f t="shared" si="7"/>
        <v>960.18999999999994</v>
      </c>
      <c r="C14" s="121">
        <f t="shared" si="0"/>
        <v>195.88</v>
      </c>
      <c r="D14" s="121">
        <f t="shared" si="1"/>
        <v>60.01</v>
      </c>
      <c r="E14" s="121">
        <f t="shared" si="8"/>
        <v>1176.47</v>
      </c>
      <c r="F14" s="121">
        <f t="shared" si="2"/>
        <v>1236.48</v>
      </c>
      <c r="G14" s="121">
        <f t="shared" si="3"/>
        <v>18547.240000000002</v>
      </c>
      <c r="H14" s="120">
        <v>5</v>
      </c>
      <c r="I14" s="126">
        <f t="shared" si="4"/>
        <v>6.2499966796876041E-2</v>
      </c>
      <c r="J14" s="122" t="str">
        <f t="shared" si="5"/>
        <v>Não</v>
      </c>
      <c r="K14" s="123">
        <f t="shared" si="6"/>
        <v>17647.059999999998</v>
      </c>
      <c r="L14" s="109"/>
      <c r="M14" s="124"/>
      <c r="N14" s="109"/>
      <c r="O14" s="109"/>
      <c r="P14" s="109"/>
      <c r="Q14" s="109"/>
      <c r="R14" s="109"/>
      <c r="S14" s="109"/>
      <c r="T14" s="109"/>
      <c r="U14" s="109"/>
      <c r="V14" s="62"/>
      <c r="W14" s="62"/>
      <c r="X14" s="62"/>
      <c r="Y14" s="62"/>
      <c r="Z14" s="62"/>
    </row>
    <row r="15" spans="1:26" ht="12.75" customHeight="1" x14ac:dyDescent="0.2">
      <c r="A15" s="109"/>
      <c r="B15" s="125">
        <f t="shared" si="7"/>
        <v>1085.6499999999999</v>
      </c>
      <c r="C15" s="121">
        <f t="shared" si="0"/>
        <v>185.47</v>
      </c>
      <c r="D15" s="121">
        <f t="shared" si="1"/>
        <v>72.38</v>
      </c>
      <c r="E15" s="121">
        <f t="shared" si="8"/>
        <v>1176.47</v>
      </c>
      <c r="F15" s="121">
        <f t="shared" si="2"/>
        <v>1248.8499999999999</v>
      </c>
      <c r="G15" s="121">
        <f t="shared" si="3"/>
        <v>17483.860000000004</v>
      </c>
      <c r="H15" s="120">
        <v>6</v>
      </c>
      <c r="I15" s="126">
        <f t="shared" si="4"/>
        <v>6.6666628888891424E-2</v>
      </c>
      <c r="J15" s="122" t="str">
        <f t="shared" si="5"/>
        <v>Não</v>
      </c>
      <c r="K15" s="123">
        <f t="shared" si="6"/>
        <v>16470.589999999997</v>
      </c>
      <c r="L15" s="109"/>
      <c r="M15" s="124"/>
      <c r="N15" s="109"/>
      <c r="O15" s="109"/>
      <c r="P15" s="109"/>
      <c r="Q15" s="109"/>
      <c r="R15" s="109"/>
      <c r="S15" s="109"/>
      <c r="T15" s="109"/>
      <c r="U15" s="109"/>
      <c r="V15" s="62"/>
      <c r="W15" s="62"/>
      <c r="X15" s="62"/>
      <c r="Y15" s="62"/>
      <c r="Z15" s="62"/>
    </row>
    <row r="16" spans="1:26" ht="12.75" customHeight="1" x14ac:dyDescent="0.2">
      <c r="A16" s="109"/>
      <c r="B16" s="125">
        <f t="shared" si="7"/>
        <v>1188.1099999999997</v>
      </c>
      <c r="C16" s="121">
        <f t="shared" si="0"/>
        <v>174.84</v>
      </c>
      <c r="D16" s="121">
        <f t="shared" si="1"/>
        <v>84.86</v>
      </c>
      <c r="E16" s="121">
        <f t="shared" si="8"/>
        <v>1176.47</v>
      </c>
      <c r="F16" s="121">
        <f t="shared" si="2"/>
        <v>1261.33</v>
      </c>
      <c r="G16" s="121">
        <f t="shared" si="3"/>
        <v>16397.370000000003</v>
      </c>
      <c r="H16" s="120">
        <v>7</v>
      </c>
      <c r="I16" s="126">
        <f t="shared" si="4"/>
        <v>7.1428528061229152E-2</v>
      </c>
      <c r="J16" s="122" t="str">
        <f t="shared" si="5"/>
        <v>Não</v>
      </c>
      <c r="K16" s="123">
        <f t="shared" si="6"/>
        <v>15294.119999999997</v>
      </c>
      <c r="L16" s="109"/>
      <c r="M16" s="124"/>
      <c r="N16" s="109"/>
      <c r="O16" s="109"/>
      <c r="P16" s="109"/>
      <c r="Q16" s="109"/>
      <c r="R16" s="109"/>
      <c r="S16" s="109"/>
      <c r="T16" s="109"/>
      <c r="U16" s="109"/>
      <c r="V16" s="62"/>
      <c r="W16" s="62"/>
      <c r="X16" s="62"/>
      <c r="Y16" s="62"/>
      <c r="Z16" s="62"/>
    </row>
    <row r="17" spans="1:26" ht="12.75" customHeight="1" x14ac:dyDescent="0.2">
      <c r="A17" s="109"/>
      <c r="B17" s="125">
        <f t="shared" si="7"/>
        <v>1267.2199999999998</v>
      </c>
      <c r="C17" s="121">
        <f t="shared" si="0"/>
        <v>163.97</v>
      </c>
      <c r="D17" s="121">
        <f t="shared" si="1"/>
        <v>97.48</v>
      </c>
      <c r="E17" s="121">
        <f t="shared" si="8"/>
        <v>1176.47</v>
      </c>
      <c r="F17" s="121">
        <f t="shared" si="2"/>
        <v>1273.95</v>
      </c>
      <c r="G17" s="121">
        <f t="shared" si="3"/>
        <v>15287.390000000003</v>
      </c>
      <c r="H17" s="120">
        <v>8</v>
      </c>
      <c r="I17" s="126">
        <f t="shared" si="4"/>
        <v>7.6923026627226693E-2</v>
      </c>
      <c r="J17" s="122" t="str">
        <f t="shared" si="5"/>
        <v>Não</v>
      </c>
      <c r="K17" s="123">
        <f t="shared" si="6"/>
        <v>14117.649999999998</v>
      </c>
      <c r="L17" s="109"/>
      <c r="M17" s="124"/>
      <c r="N17" s="109"/>
      <c r="O17" s="109"/>
      <c r="P17" s="109"/>
      <c r="Q17" s="109"/>
      <c r="R17" s="109"/>
      <c r="S17" s="109"/>
      <c r="T17" s="109"/>
      <c r="U17" s="109"/>
      <c r="V17" s="62"/>
      <c r="W17" s="62"/>
      <c r="X17" s="62"/>
      <c r="Y17" s="62"/>
      <c r="Z17" s="62"/>
    </row>
    <row r="18" spans="1:26" ht="12.75" customHeight="1" x14ac:dyDescent="0.2">
      <c r="A18" s="109"/>
      <c r="B18" s="125">
        <f t="shared" si="7"/>
        <v>1322.6099999999997</v>
      </c>
      <c r="C18" s="121">
        <f t="shared" si="0"/>
        <v>152.87</v>
      </c>
      <c r="D18" s="121">
        <f t="shared" si="1"/>
        <v>110.22</v>
      </c>
      <c r="E18" s="121">
        <f t="shared" si="8"/>
        <v>1176.47</v>
      </c>
      <c r="F18" s="121">
        <f t="shared" si="2"/>
        <v>1286.69</v>
      </c>
      <c r="G18" s="121">
        <f t="shared" si="3"/>
        <v>14153.570000000003</v>
      </c>
      <c r="H18" s="120">
        <v>9</v>
      </c>
      <c r="I18" s="126">
        <f t="shared" si="4"/>
        <v>8.3333274305567862E-2</v>
      </c>
      <c r="J18" s="122" t="str">
        <f t="shared" si="5"/>
        <v>Não</v>
      </c>
      <c r="K18" s="123">
        <f t="shared" si="6"/>
        <v>12941.179999999998</v>
      </c>
      <c r="L18" s="109"/>
      <c r="M18" s="124"/>
      <c r="N18" s="109"/>
      <c r="O18" s="109"/>
      <c r="P18" s="109"/>
      <c r="Q18" s="109"/>
      <c r="R18" s="109"/>
      <c r="S18" s="109"/>
      <c r="T18" s="109"/>
      <c r="U18" s="109"/>
      <c r="V18" s="62"/>
      <c r="W18" s="62"/>
      <c r="X18" s="62"/>
      <c r="Y18" s="62"/>
      <c r="Z18" s="62"/>
    </row>
    <row r="19" spans="1:26" ht="12.75" customHeight="1" x14ac:dyDescent="0.2">
      <c r="A19" s="109"/>
      <c r="B19" s="125">
        <f t="shared" si="7"/>
        <v>1353.9299999999996</v>
      </c>
      <c r="C19" s="121">
        <f t="shared" si="0"/>
        <v>141.54</v>
      </c>
      <c r="D19" s="121">
        <f t="shared" si="1"/>
        <v>123.08</v>
      </c>
      <c r="E19" s="121">
        <f t="shared" si="8"/>
        <v>1176.47</v>
      </c>
      <c r="F19" s="121">
        <f t="shared" si="2"/>
        <v>1299.55</v>
      </c>
      <c r="G19" s="121">
        <f t="shared" si="3"/>
        <v>12995.560000000005</v>
      </c>
      <c r="H19" s="120">
        <v>10</v>
      </c>
      <c r="I19" s="126">
        <f t="shared" si="4"/>
        <v>9.090902066117619E-2</v>
      </c>
      <c r="J19" s="122" t="str">
        <f t="shared" si="5"/>
        <v>Não</v>
      </c>
      <c r="K19" s="123">
        <f t="shared" si="6"/>
        <v>11764.71</v>
      </c>
      <c r="L19" s="109"/>
      <c r="M19" s="124"/>
      <c r="N19" s="109"/>
      <c r="O19" s="109"/>
      <c r="P19" s="109"/>
      <c r="Q19" s="109"/>
      <c r="R19" s="109"/>
      <c r="S19" s="109"/>
      <c r="T19" s="109"/>
      <c r="U19" s="109"/>
      <c r="V19" s="62"/>
      <c r="W19" s="62"/>
      <c r="X19" s="62"/>
      <c r="Y19" s="62"/>
      <c r="Z19" s="62"/>
    </row>
    <row r="20" spans="1:26" ht="12.75" customHeight="1" x14ac:dyDescent="0.2">
      <c r="A20" s="109"/>
      <c r="B20" s="125">
        <f t="shared" si="7"/>
        <v>1360.8099999999997</v>
      </c>
      <c r="C20" s="121">
        <f t="shared" si="0"/>
        <v>129.96</v>
      </c>
      <c r="D20" s="121">
        <f t="shared" si="1"/>
        <v>136.08000000000001</v>
      </c>
      <c r="E20" s="121">
        <f t="shared" si="8"/>
        <v>1176.47</v>
      </c>
      <c r="F20" s="121">
        <f t="shared" si="2"/>
        <v>1312.55</v>
      </c>
      <c r="G20" s="121">
        <f t="shared" si="3"/>
        <v>11812.970000000005</v>
      </c>
      <c r="H20" s="120">
        <v>11</v>
      </c>
      <c r="I20" s="126">
        <f t="shared" si="4"/>
        <v>9.9999915000029763E-2</v>
      </c>
      <c r="J20" s="122" t="str">
        <f t="shared" si="5"/>
        <v>Não</v>
      </c>
      <c r="K20" s="123">
        <f t="shared" si="6"/>
        <v>10588.24</v>
      </c>
      <c r="L20" s="109"/>
      <c r="M20" s="124"/>
      <c r="N20" s="109"/>
      <c r="O20" s="109"/>
      <c r="P20" s="109"/>
      <c r="Q20" s="109"/>
      <c r="R20" s="109"/>
      <c r="S20" s="109"/>
      <c r="T20" s="109"/>
      <c r="U20" s="109"/>
      <c r="V20" s="62"/>
      <c r="W20" s="62"/>
      <c r="X20" s="62"/>
      <c r="Y20" s="62"/>
      <c r="Z20" s="62"/>
    </row>
    <row r="21" spans="1:26" ht="12.75" customHeight="1" x14ac:dyDescent="0.2">
      <c r="A21" s="109"/>
      <c r="B21" s="125">
        <f t="shared" si="7"/>
        <v>1342.8599999999997</v>
      </c>
      <c r="C21" s="121">
        <f t="shared" si="0"/>
        <v>118.13</v>
      </c>
      <c r="D21" s="121">
        <f t="shared" si="1"/>
        <v>149.21</v>
      </c>
      <c r="E21" s="121">
        <f t="shared" si="8"/>
        <v>1176.47</v>
      </c>
      <c r="F21" s="121">
        <f t="shared" si="2"/>
        <v>1325.68</v>
      </c>
      <c r="G21" s="121">
        <f t="shared" si="3"/>
        <v>10605.420000000004</v>
      </c>
      <c r="H21" s="120">
        <v>12</v>
      </c>
      <c r="I21" s="126">
        <f t="shared" si="4"/>
        <v>0.11111100617288615</v>
      </c>
      <c r="J21" s="122" t="str">
        <f t="shared" si="5"/>
        <v>Não</v>
      </c>
      <c r="K21" s="123">
        <f t="shared" si="6"/>
        <v>9411.77</v>
      </c>
      <c r="L21" s="109"/>
      <c r="M21" s="124"/>
      <c r="N21" s="109"/>
      <c r="O21" s="109"/>
      <c r="P21" s="109"/>
      <c r="Q21" s="109"/>
      <c r="R21" s="109"/>
      <c r="S21" s="109"/>
      <c r="T21" s="109"/>
      <c r="U21" s="109"/>
      <c r="V21" s="62"/>
      <c r="W21" s="62"/>
      <c r="X21" s="62"/>
      <c r="Y21" s="62"/>
      <c r="Z21" s="62"/>
    </row>
    <row r="22" spans="1:26" ht="12.75" customHeight="1" x14ac:dyDescent="0.2">
      <c r="A22" s="109"/>
      <c r="B22" s="125">
        <f t="shared" si="7"/>
        <v>1299.6999999999996</v>
      </c>
      <c r="C22" s="121">
        <f t="shared" si="0"/>
        <v>106.05</v>
      </c>
      <c r="D22" s="121">
        <f t="shared" si="1"/>
        <v>162.46</v>
      </c>
      <c r="E22" s="121">
        <f t="shared" si="8"/>
        <v>1176.47</v>
      </c>
      <c r="F22" s="121">
        <f t="shared" si="2"/>
        <v>1338.93</v>
      </c>
      <c r="G22" s="121">
        <f t="shared" si="3"/>
        <v>9372.5400000000027</v>
      </c>
      <c r="H22" s="120">
        <v>13</v>
      </c>
      <c r="I22" s="126">
        <f t="shared" si="4"/>
        <v>0.12499986718757471</v>
      </c>
      <c r="J22" s="122" t="str">
        <f t="shared" si="5"/>
        <v>Não</v>
      </c>
      <c r="K22" s="123">
        <f t="shared" si="6"/>
        <v>8235.3000000000011</v>
      </c>
      <c r="L22" s="109"/>
      <c r="M22" s="124"/>
      <c r="N22" s="109"/>
      <c r="O22" s="109"/>
      <c r="P22" s="109"/>
      <c r="Q22" s="109"/>
      <c r="R22" s="109"/>
      <c r="S22" s="109"/>
      <c r="T22" s="109"/>
      <c r="U22" s="109"/>
      <c r="V22" s="62"/>
      <c r="W22" s="62"/>
      <c r="X22" s="62"/>
      <c r="Y22" s="62"/>
      <c r="Z22" s="62"/>
    </row>
    <row r="23" spans="1:26" ht="12.75" customHeight="1" x14ac:dyDescent="0.2">
      <c r="A23" s="109"/>
      <c r="B23" s="125">
        <f t="shared" si="7"/>
        <v>1230.9699999999996</v>
      </c>
      <c r="C23" s="121">
        <f t="shared" si="0"/>
        <v>93.73</v>
      </c>
      <c r="D23" s="121">
        <f t="shared" si="1"/>
        <v>175.85</v>
      </c>
      <c r="E23" s="121">
        <f t="shared" si="8"/>
        <v>1176.47</v>
      </c>
      <c r="F23" s="121">
        <f t="shared" si="2"/>
        <v>1352.32</v>
      </c>
      <c r="G23" s="121">
        <f t="shared" si="3"/>
        <v>8113.9500000000025</v>
      </c>
      <c r="H23" s="120">
        <v>14</v>
      </c>
      <c r="I23" s="126">
        <f t="shared" si="4"/>
        <v>0.14285696938787898</v>
      </c>
      <c r="J23" s="122" t="str">
        <f t="shared" si="5"/>
        <v>Não</v>
      </c>
      <c r="K23" s="123">
        <f t="shared" si="6"/>
        <v>7058.8300000000008</v>
      </c>
      <c r="L23" s="109"/>
      <c r="M23" s="124"/>
      <c r="N23" s="109"/>
      <c r="O23" s="109"/>
      <c r="P23" s="109"/>
      <c r="Q23" s="109"/>
      <c r="R23" s="109"/>
      <c r="S23" s="109"/>
      <c r="T23" s="109"/>
      <c r="U23" s="109"/>
      <c r="V23" s="62"/>
      <c r="W23" s="62"/>
      <c r="X23" s="62"/>
      <c r="Y23" s="62"/>
      <c r="Z23" s="62"/>
    </row>
    <row r="24" spans="1:26" ht="12.75" customHeight="1" x14ac:dyDescent="0.2">
      <c r="A24" s="109"/>
      <c r="B24" s="125">
        <f t="shared" si="7"/>
        <v>1136.2599999999998</v>
      </c>
      <c r="C24" s="121">
        <f t="shared" si="0"/>
        <v>81.14</v>
      </c>
      <c r="D24" s="121">
        <f t="shared" si="1"/>
        <v>189.38</v>
      </c>
      <c r="E24" s="121">
        <f t="shared" si="8"/>
        <v>1176.47</v>
      </c>
      <c r="F24" s="121">
        <f t="shared" si="2"/>
        <v>1365.85</v>
      </c>
      <c r="G24" s="121">
        <f t="shared" si="3"/>
        <v>6829.2400000000016</v>
      </c>
      <c r="H24" s="120">
        <v>15</v>
      </c>
      <c r="I24" s="126">
        <f t="shared" si="4"/>
        <v>0.16666643055577199</v>
      </c>
      <c r="J24" s="122" t="str">
        <f t="shared" si="5"/>
        <v>Não</v>
      </c>
      <c r="K24" s="123">
        <f t="shared" si="6"/>
        <v>5882.3600000000006</v>
      </c>
      <c r="L24" s="109"/>
      <c r="M24" s="124"/>
      <c r="N24" s="109"/>
      <c r="O24" s="109"/>
      <c r="P24" s="109"/>
      <c r="Q24" s="109"/>
      <c r="R24" s="109"/>
      <c r="S24" s="109"/>
      <c r="T24" s="109"/>
      <c r="U24" s="109"/>
      <c r="V24" s="62"/>
      <c r="W24" s="62"/>
      <c r="X24" s="62"/>
      <c r="Y24" s="62"/>
      <c r="Z24" s="62"/>
    </row>
    <row r="25" spans="1:26" ht="12.75" customHeight="1" x14ac:dyDescent="0.2">
      <c r="A25" s="109"/>
      <c r="B25" s="125">
        <f t="shared" si="7"/>
        <v>1015.1699999999997</v>
      </c>
      <c r="C25" s="121">
        <f t="shared" si="0"/>
        <v>68.290000000000006</v>
      </c>
      <c r="D25" s="121">
        <f t="shared" si="1"/>
        <v>203.03</v>
      </c>
      <c r="E25" s="121">
        <f t="shared" si="8"/>
        <v>1176.47</v>
      </c>
      <c r="F25" s="121">
        <f t="shared" si="2"/>
        <v>1379.5</v>
      </c>
      <c r="G25" s="121">
        <f t="shared" si="3"/>
        <v>5518.0300000000016</v>
      </c>
      <c r="H25" s="120">
        <v>16</v>
      </c>
      <c r="I25" s="126">
        <f t="shared" si="4"/>
        <v>0.19999966000040797</v>
      </c>
      <c r="J25" s="122" t="str">
        <f t="shared" si="5"/>
        <v>Não</v>
      </c>
      <c r="K25" s="123">
        <f t="shared" si="6"/>
        <v>4705.8900000000003</v>
      </c>
      <c r="L25" s="109"/>
      <c r="M25" s="124"/>
      <c r="N25" s="109"/>
      <c r="O25" s="109"/>
      <c r="P25" s="109"/>
      <c r="Q25" s="109"/>
      <c r="R25" s="109"/>
      <c r="S25" s="109"/>
      <c r="T25" s="109"/>
      <c r="U25" s="109"/>
      <c r="V25" s="62"/>
      <c r="W25" s="62"/>
      <c r="X25" s="62"/>
      <c r="Y25" s="62"/>
      <c r="Z25" s="62"/>
    </row>
    <row r="26" spans="1:26" ht="12.75" customHeight="1" x14ac:dyDescent="0.2">
      <c r="A26" s="109"/>
      <c r="B26" s="125">
        <f t="shared" si="7"/>
        <v>867.31999999999971</v>
      </c>
      <c r="C26" s="121">
        <f t="shared" si="0"/>
        <v>55.18</v>
      </c>
      <c r="D26" s="121">
        <f t="shared" si="1"/>
        <v>216.83</v>
      </c>
      <c r="E26" s="121">
        <f t="shared" si="8"/>
        <v>1176.47</v>
      </c>
      <c r="F26" s="121">
        <f t="shared" si="2"/>
        <v>1393.3</v>
      </c>
      <c r="G26" s="121">
        <f t="shared" si="3"/>
        <v>4179.9100000000017</v>
      </c>
      <c r="H26" s="120">
        <v>17</v>
      </c>
      <c r="I26" s="126">
        <f t="shared" si="4"/>
        <v>0.24999946875086326</v>
      </c>
      <c r="J26" s="122" t="str">
        <f t="shared" si="5"/>
        <v>Não</v>
      </c>
      <c r="K26" s="123">
        <f t="shared" si="6"/>
        <v>3529.42</v>
      </c>
      <c r="L26" s="109"/>
      <c r="M26" s="124"/>
      <c r="N26" s="109"/>
      <c r="O26" s="109"/>
      <c r="P26" s="109"/>
      <c r="Q26" s="109"/>
      <c r="R26" s="109"/>
      <c r="S26" s="109"/>
      <c r="T26" s="109"/>
      <c r="U26" s="109"/>
      <c r="V26" s="62"/>
      <c r="W26" s="62"/>
      <c r="X26" s="62"/>
      <c r="Y26" s="62"/>
      <c r="Z26" s="62"/>
    </row>
    <row r="27" spans="1:26" ht="12.75" customHeight="1" x14ac:dyDescent="0.2">
      <c r="A27" s="109"/>
      <c r="B27" s="125">
        <f t="shared" si="7"/>
        <v>692.28999999999962</v>
      </c>
      <c r="C27" s="121">
        <f t="shared" si="0"/>
        <v>41.8</v>
      </c>
      <c r="D27" s="121">
        <f t="shared" si="1"/>
        <v>230.76</v>
      </c>
      <c r="E27" s="121">
        <f t="shared" si="8"/>
        <v>1176.47</v>
      </c>
      <c r="F27" s="121">
        <f t="shared" si="2"/>
        <v>1407.23</v>
      </c>
      <c r="G27" s="121">
        <f t="shared" si="3"/>
        <v>2814.4800000000018</v>
      </c>
      <c r="H27" s="120">
        <v>18</v>
      </c>
      <c r="I27" s="126">
        <f t="shared" si="4"/>
        <v>0.33333238889109257</v>
      </c>
      <c r="J27" s="122" t="str">
        <f t="shared" si="5"/>
        <v>Não</v>
      </c>
      <c r="K27" s="123">
        <f t="shared" si="6"/>
        <v>2352.9499999999998</v>
      </c>
      <c r="L27" s="109"/>
      <c r="M27" s="124"/>
      <c r="N27" s="109"/>
      <c r="O27" s="109"/>
      <c r="P27" s="109"/>
      <c r="Q27" s="109"/>
      <c r="R27" s="109"/>
      <c r="S27" s="109"/>
      <c r="T27" s="109"/>
      <c r="U27" s="109"/>
      <c r="V27" s="62"/>
      <c r="W27" s="62"/>
      <c r="X27" s="62"/>
      <c r="Y27" s="62"/>
      <c r="Z27" s="62"/>
    </row>
    <row r="28" spans="1:26" ht="12.75" customHeight="1" x14ac:dyDescent="0.2">
      <c r="A28" s="109"/>
      <c r="B28" s="125">
        <f t="shared" si="7"/>
        <v>489.66999999999962</v>
      </c>
      <c r="C28" s="121">
        <f t="shared" si="0"/>
        <v>28.14</v>
      </c>
      <c r="D28" s="121">
        <f t="shared" si="1"/>
        <v>244.83</v>
      </c>
      <c r="E28" s="121">
        <f t="shared" si="8"/>
        <v>1176.47</v>
      </c>
      <c r="F28" s="121">
        <f t="shared" si="2"/>
        <v>1421.3</v>
      </c>
      <c r="G28" s="121">
        <f t="shared" si="3"/>
        <v>1421.3200000000018</v>
      </c>
      <c r="H28" s="120">
        <v>19</v>
      </c>
      <c r="I28" s="126">
        <f t="shared" si="4"/>
        <v>0.49999787500796877</v>
      </c>
      <c r="J28" s="122" t="str">
        <f t="shared" si="5"/>
        <v>Não</v>
      </c>
      <c r="K28" s="123">
        <f t="shared" si="6"/>
        <v>1176.4799999999998</v>
      </c>
      <c r="L28" s="109"/>
      <c r="M28" s="124"/>
      <c r="N28" s="109"/>
      <c r="O28" s="109"/>
      <c r="P28" s="109"/>
      <c r="Q28" s="109"/>
      <c r="R28" s="109"/>
      <c r="S28" s="109"/>
      <c r="T28" s="109"/>
      <c r="U28" s="109"/>
      <c r="V28" s="62"/>
      <c r="W28" s="62"/>
      <c r="X28" s="62"/>
      <c r="Y28" s="62"/>
      <c r="Z28" s="62"/>
    </row>
    <row r="29" spans="1:26" ht="12.75" customHeight="1" x14ac:dyDescent="0.2">
      <c r="A29" s="109"/>
      <c r="B29" s="125">
        <f t="shared" si="7"/>
        <v>259.04999999999961</v>
      </c>
      <c r="C29" s="121">
        <f t="shared" si="0"/>
        <v>14.21</v>
      </c>
      <c r="D29" s="121">
        <f t="shared" si="1"/>
        <v>259.05</v>
      </c>
      <c r="E29" s="121">
        <f t="shared" si="8"/>
        <v>1176.48</v>
      </c>
      <c r="F29" s="121">
        <f t="shared" si="2"/>
        <v>1435.53</v>
      </c>
      <c r="G29" s="121">
        <f t="shared" si="3"/>
        <v>1.8189894035458565E-12</v>
      </c>
      <c r="H29" s="120">
        <v>20</v>
      </c>
      <c r="I29" s="126">
        <f t="shared" si="4"/>
        <v>1.0000000000000002</v>
      </c>
      <c r="J29" s="122" t="str">
        <f t="shared" si="5"/>
        <v>Não</v>
      </c>
      <c r="K29" s="123">
        <f t="shared" si="6"/>
        <v>0</v>
      </c>
      <c r="L29" s="109"/>
      <c r="M29" s="124"/>
      <c r="N29" s="109"/>
      <c r="O29" s="109"/>
      <c r="P29" s="109"/>
      <c r="Q29" s="109"/>
      <c r="R29" s="109"/>
      <c r="S29" s="109"/>
      <c r="T29" s="109"/>
      <c r="U29" s="109"/>
      <c r="V29" s="62"/>
      <c r="W29" s="62"/>
      <c r="X29" s="62"/>
      <c r="Y29" s="62"/>
      <c r="Z29" s="62"/>
    </row>
    <row r="30" spans="1:26" ht="12.75" customHeight="1" x14ac:dyDescent="0.2">
      <c r="A30" s="109"/>
      <c r="B30" s="119"/>
      <c r="C30" s="120"/>
      <c r="D30" s="120"/>
      <c r="E30" s="121"/>
      <c r="F30" s="120"/>
      <c r="G30" s="120"/>
      <c r="H30" s="120"/>
      <c r="I30" s="120"/>
      <c r="J30" s="120"/>
      <c r="K30" s="127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62"/>
      <c r="W30" s="62"/>
      <c r="X30" s="62"/>
      <c r="Y30" s="62"/>
      <c r="Z30" s="62"/>
    </row>
    <row r="31" spans="1:26" ht="12.75" customHeight="1" x14ac:dyDescent="0.2">
      <c r="A31" s="109"/>
      <c r="B31" s="119"/>
      <c r="C31" s="128">
        <f t="shared" ref="C31:F31" si="9">SUM(C10:C29)</f>
        <v>2563.2799999999997</v>
      </c>
      <c r="D31" s="128">
        <f t="shared" si="9"/>
        <v>2563.2800000000002</v>
      </c>
      <c r="E31" s="128">
        <f t="shared" si="9"/>
        <v>20000</v>
      </c>
      <c r="F31" s="128">
        <f t="shared" si="9"/>
        <v>22563.279999999995</v>
      </c>
      <c r="G31" s="121"/>
      <c r="H31" s="120"/>
      <c r="I31" s="120"/>
      <c r="J31" s="120"/>
      <c r="K31" s="127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62"/>
      <c r="W31" s="62"/>
      <c r="X31" s="62"/>
      <c r="Y31" s="62"/>
      <c r="Z31" s="62"/>
    </row>
    <row r="32" spans="1:26" ht="12.75" customHeight="1" x14ac:dyDescent="0.2">
      <c r="A32" s="109"/>
      <c r="B32" s="129"/>
      <c r="C32" s="130"/>
      <c r="D32" s="130"/>
      <c r="E32" s="130"/>
      <c r="F32" s="130"/>
      <c r="G32" s="130"/>
      <c r="H32" s="130"/>
      <c r="I32" s="130"/>
      <c r="J32" s="130"/>
      <c r="K32" s="131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62"/>
      <c r="W32" s="62"/>
      <c r="X32" s="62"/>
      <c r="Y32" s="62"/>
      <c r="Z32" s="62"/>
    </row>
    <row r="33" spans="1:26" ht="12.75" customHeight="1" x14ac:dyDescent="0.2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62"/>
      <c r="W33" s="62"/>
      <c r="X33" s="62"/>
      <c r="Y33" s="62"/>
      <c r="Z33" s="62"/>
    </row>
    <row r="34" spans="1:26" ht="12.75" customHeight="1" x14ac:dyDescent="0.2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12.75" customHeight="1" x14ac:dyDescent="0.2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12.75" customHeight="1" x14ac:dyDescent="0.2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12.75" customHeight="1" x14ac:dyDescent="0.2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12.75" customHeight="1" x14ac:dyDescent="0.2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12.75" customHeight="1" x14ac:dyDescent="0.2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12.75" customHeight="1" x14ac:dyDescent="0.2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12.75" customHeight="1" x14ac:dyDescent="0.2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12.75" customHeight="1" x14ac:dyDescent="0.2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12.75" customHeight="1" x14ac:dyDescent="0.2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12.75" customHeight="1" x14ac:dyDescent="0.2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12.75" customHeight="1" x14ac:dyDescent="0.2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12.75" customHeight="1" x14ac:dyDescent="0.2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12.75" customHeight="1" x14ac:dyDescent="0.2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12.75" customHeight="1" x14ac:dyDescent="0.2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12.75" customHeight="1" x14ac:dyDescent="0.2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12.75" customHeight="1" x14ac:dyDescent="0.2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12.75" customHeight="1" x14ac:dyDescent="0.2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12.75" customHeight="1" x14ac:dyDescent="0.2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12.75" customHeight="1" x14ac:dyDescent="0.2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12.75" customHeight="1" x14ac:dyDescent="0.2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12.75" customHeight="1" x14ac:dyDescent="0.2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12.75" customHeight="1" x14ac:dyDescent="0.2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12.75" customHeight="1" x14ac:dyDescent="0.2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12.75" customHeight="1" x14ac:dyDescent="0.2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12.75" customHeight="1" x14ac:dyDescent="0.2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12.75" customHeight="1" x14ac:dyDescent="0.2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12.75" customHeight="1" x14ac:dyDescent="0.2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12.75" customHeight="1" x14ac:dyDescent="0.2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12.75" customHeight="1" x14ac:dyDescent="0.2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12.75" customHeight="1" x14ac:dyDescent="0.2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12.75" customHeight="1" x14ac:dyDescent="0.2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12.75" customHeight="1" x14ac:dyDescent="0.2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12.75" customHeight="1" x14ac:dyDescent="0.2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12.75" customHeight="1" x14ac:dyDescent="0.2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12.75" customHeight="1" x14ac:dyDescent="0.2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12.75" customHeight="1" x14ac:dyDescent="0.2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12.75" customHeight="1" x14ac:dyDescent="0.2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12.75" customHeight="1" x14ac:dyDescent="0.2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12.75" customHeight="1" x14ac:dyDescent="0.2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12.75" customHeight="1" x14ac:dyDescent="0.2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12.75" customHeight="1" x14ac:dyDescent="0.2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12.75" customHeight="1" x14ac:dyDescent="0.2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12.75" customHeight="1" x14ac:dyDescent="0.2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12.75" customHeight="1" x14ac:dyDescent="0.2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12.75" customHeight="1" x14ac:dyDescent="0.2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12.75" customHeight="1" x14ac:dyDescent="0.2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12.75" customHeight="1" x14ac:dyDescent="0.2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12.75" customHeight="1" x14ac:dyDescent="0.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12.75" customHeight="1" x14ac:dyDescent="0.2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12.75" customHeight="1" x14ac:dyDescent="0.2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12.75" customHeight="1" x14ac:dyDescent="0.2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12.75" customHeight="1" x14ac:dyDescent="0.2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12.75" customHeight="1" x14ac:dyDescent="0.2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12.75" customHeight="1" x14ac:dyDescent="0.2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12.75" customHeight="1" x14ac:dyDescent="0.2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12.75" customHeight="1" x14ac:dyDescent="0.2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12.75" customHeight="1" x14ac:dyDescent="0.2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12.75" customHeight="1" x14ac:dyDescent="0.2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12.75" customHeight="1" x14ac:dyDescent="0.2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12.75" customHeight="1" x14ac:dyDescent="0.2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12.75" customHeight="1" x14ac:dyDescent="0.2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12.75" customHeight="1" x14ac:dyDescent="0.2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12.75" customHeight="1" x14ac:dyDescent="0.2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12.75" customHeight="1" x14ac:dyDescent="0.2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12.75" customHeight="1" x14ac:dyDescent="0.2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12.75" customHeight="1" x14ac:dyDescent="0.2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12.75" customHeight="1" x14ac:dyDescent="0.2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12.75" customHeight="1" x14ac:dyDescent="0.2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12.75" customHeight="1" x14ac:dyDescent="0.2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12.75" customHeight="1" x14ac:dyDescent="0.2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12.75" customHeight="1" x14ac:dyDescent="0.2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12.75" customHeight="1" x14ac:dyDescent="0.2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12.75" customHeight="1" x14ac:dyDescent="0.2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12.75" customHeight="1" x14ac:dyDescent="0.2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12.75" customHeight="1" x14ac:dyDescent="0.2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12.75" customHeight="1" x14ac:dyDescent="0.2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12.75" customHeight="1" x14ac:dyDescent="0.2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12.75" customHeight="1" x14ac:dyDescent="0.2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12.75" customHeight="1" x14ac:dyDescent="0.2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12.75" customHeight="1" x14ac:dyDescent="0.2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12.75" customHeight="1" x14ac:dyDescent="0.2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12.75" customHeight="1" x14ac:dyDescent="0.2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12.75" customHeight="1" x14ac:dyDescent="0.2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12.75" customHeight="1" x14ac:dyDescent="0.2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12.75" customHeight="1" x14ac:dyDescent="0.2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12.75" customHeight="1" x14ac:dyDescent="0.2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12.75" customHeight="1" x14ac:dyDescent="0.2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12.75" customHeight="1" x14ac:dyDescent="0.2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12.75" customHeight="1" x14ac:dyDescent="0.2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12.75" customHeight="1" x14ac:dyDescent="0.2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12.75" customHeight="1" x14ac:dyDescent="0.2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12.75" customHeight="1" x14ac:dyDescent="0.2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12.75" customHeight="1" x14ac:dyDescent="0.2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12.75" customHeight="1" x14ac:dyDescent="0.2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12.75" customHeight="1" x14ac:dyDescent="0.2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12.75" customHeight="1" x14ac:dyDescent="0.2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12.75" customHeight="1" x14ac:dyDescent="0.2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12.75" customHeight="1" x14ac:dyDescent="0.2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12.75" customHeight="1" x14ac:dyDescent="0.2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12.75" customHeight="1" x14ac:dyDescent="0.2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12.75" customHeight="1" x14ac:dyDescent="0.2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12.75" customHeight="1" x14ac:dyDescent="0.2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12.75" customHeight="1" x14ac:dyDescent="0.2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12.75" customHeight="1" x14ac:dyDescent="0.2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12.75" customHeight="1" x14ac:dyDescent="0.2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12.75" customHeight="1" x14ac:dyDescent="0.2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12.75" customHeight="1" x14ac:dyDescent="0.2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12.75" customHeight="1" x14ac:dyDescent="0.2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12.75" customHeight="1" x14ac:dyDescent="0.2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12.75" customHeight="1" x14ac:dyDescent="0.2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12.75" customHeight="1" x14ac:dyDescent="0.2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12.75" customHeight="1" x14ac:dyDescent="0.2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12.75" customHeight="1" x14ac:dyDescent="0.2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12.75" customHeight="1" x14ac:dyDescent="0.2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12.75" customHeight="1" x14ac:dyDescent="0.2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12.75" customHeight="1" x14ac:dyDescent="0.2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12.75" customHeight="1" x14ac:dyDescent="0.2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12.75" customHeight="1" x14ac:dyDescent="0.2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12.75" customHeight="1" x14ac:dyDescent="0.2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12.75" customHeight="1" x14ac:dyDescent="0.2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12.75" customHeight="1" x14ac:dyDescent="0.2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12.75" customHeight="1" x14ac:dyDescent="0.2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12.75" customHeight="1" x14ac:dyDescent="0.2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12.75" customHeight="1" x14ac:dyDescent="0.2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12.75" customHeight="1" x14ac:dyDescent="0.2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12.75" customHeight="1" x14ac:dyDescent="0.2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12.7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12.7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12.75" customHeight="1" x14ac:dyDescent="0.2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12.75" customHeight="1" x14ac:dyDescent="0.2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12.75" customHeight="1" x14ac:dyDescent="0.2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12.75" customHeight="1" x14ac:dyDescent="0.2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12.75" customHeight="1" x14ac:dyDescent="0.2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12.75" customHeight="1" x14ac:dyDescent="0.2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12.75" customHeight="1" x14ac:dyDescent="0.2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12.75" customHeight="1" x14ac:dyDescent="0.2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12.75" customHeight="1" x14ac:dyDescent="0.2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12.75" customHeight="1" x14ac:dyDescent="0.2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12.75" customHeight="1" x14ac:dyDescent="0.2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12.75" customHeight="1" x14ac:dyDescent="0.2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12.75" customHeight="1" x14ac:dyDescent="0.2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12.75" customHeight="1" x14ac:dyDescent="0.2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12.75" customHeight="1" x14ac:dyDescent="0.2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12.75" customHeight="1" x14ac:dyDescent="0.2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12.75" customHeight="1" x14ac:dyDescent="0.2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12.75" customHeight="1" x14ac:dyDescent="0.2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12.75" customHeight="1" x14ac:dyDescent="0.2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12.75" customHeight="1" x14ac:dyDescent="0.2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12.75" customHeight="1" x14ac:dyDescent="0.2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12.75" customHeight="1" x14ac:dyDescent="0.2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12.75" customHeight="1" x14ac:dyDescent="0.2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12.7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12.75" customHeight="1" x14ac:dyDescent="0.2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12.75" customHeight="1" x14ac:dyDescent="0.2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12.75" customHeight="1" x14ac:dyDescent="0.2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12.75" customHeight="1" x14ac:dyDescent="0.2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12.75" customHeight="1" x14ac:dyDescent="0.2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12.75" customHeight="1" x14ac:dyDescent="0.2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12.75" customHeight="1" x14ac:dyDescent="0.2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12.75" customHeight="1" x14ac:dyDescent="0.2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12.75" customHeight="1" x14ac:dyDescent="0.2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12.75" customHeight="1" x14ac:dyDescent="0.2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12.75" customHeight="1" x14ac:dyDescent="0.2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12.75" customHeight="1" x14ac:dyDescent="0.2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12.75" customHeight="1" x14ac:dyDescent="0.2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12.75" customHeight="1" x14ac:dyDescent="0.2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12.75" customHeight="1" x14ac:dyDescent="0.2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12.75" customHeight="1" x14ac:dyDescent="0.2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12.75" customHeight="1" x14ac:dyDescent="0.2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12.75" customHeight="1" x14ac:dyDescent="0.2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12.75" customHeight="1" x14ac:dyDescent="0.2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12.75" customHeight="1" x14ac:dyDescent="0.2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12.75" customHeight="1" x14ac:dyDescent="0.2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12.75" customHeight="1" x14ac:dyDescent="0.2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12.75" customHeight="1" x14ac:dyDescent="0.2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12.75" customHeight="1" x14ac:dyDescent="0.2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12.75" customHeight="1" x14ac:dyDescent="0.2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12.75" customHeight="1" x14ac:dyDescent="0.2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12.75" customHeight="1" x14ac:dyDescent="0.2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12.75" customHeight="1" x14ac:dyDescent="0.2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12.75" customHeight="1" x14ac:dyDescent="0.2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12.75" customHeight="1" x14ac:dyDescent="0.2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12.75" customHeight="1" x14ac:dyDescent="0.2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12.7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12.75" customHeight="1" x14ac:dyDescent="0.2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12.75" customHeight="1" x14ac:dyDescent="0.2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12.75" customHeight="1" x14ac:dyDescent="0.2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12.75" customHeight="1" x14ac:dyDescent="0.2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12.75" customHeight="1" x14ac:dyDescent="0.2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12.75" customHeight="1" x14ac:dyDescent="0.2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12.75" customHeight="1" x14ac:dyDescent="0.2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12.75" customHeight="1" x14ac:dyDescent="0.2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12.75" customHeight="1" x14ac:dyDescent="0.2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12.75" customHeight="1" x14ac:dyDescent="0.2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12.75" customHeight="1" x14ac:dyDescent="0.2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12.75" customHeight="1" x14ac:dyDescent="0.2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12.75" customHeight="1" x14ac:dyDescent="0.2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12.75" customHeight="1" x14ac:dyDescent="0.2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12.75" customHeight="1" x14ac:dyDescent="0.2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12.7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12.75" customHeight="1" x14ac:dyDescent="0.2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12.75" customHeight="1" x14ac:dyDescent="0.2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12.75" customHeight="1" x14ac:dyDescent="0.2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12.75" customHeight="1" x14ac:dyDescent="0.2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12.75" customHeight="1" x14ac:dyDescent="0.2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12.75" customHeight="1" x14ac:dyDescent="0.2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12.75" customHeight="1" x14ac:dyDescent="0.2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12.75" customHeight="1" x14ac:dyDescent="0.2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12.75" customHeight="1" x14ac:dyDescent="0.2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12.75" customHeight="1" x14ac:dyDescent="0.2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12.75" customHeight="1" x14ac:dyDescent="0.2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12.75" customHeight="1" x14ac:dyDescent="0.2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12.75" customHeight="1" x14ac:dyDescent="0.2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12.75" customHeight="1" x14ac:dyDescent="0.2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12.75" customHeight="1" x14ac:dyDescent="0.2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12.7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12.75" customHeight="1" x14ac:dyDescent="0.2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12.75" customHeight="1" x14ac:dyDescent="0.2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12.75" customHeight="1" x14ac:dyDescent="0.2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12.75" customHeight="1" x14ac:dyDescent="0.2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12.75" customHeight="1" x14ac:dyDescent="0.2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12.75" customHeight="1" x14ac:dyDescent="0.2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12.75" customHeight="1" x14ac:dyDescent="0.2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12.75" customHeight="1" x14ac:dyDescent="0.2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12.75" customHeight="1" x14ac:dyDescent="0.2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12.75" customHeight="1" x14ac:dyDescent="0.2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12.75" customHeight="1" x14ac:dyDescent="0.2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12.75" customHeight="1" x14ac:dyDescent="0.2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12.75" customHeight="1" x14ac:dyDescent="0.2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12.75" customHeight="1" x14ac:dyDescent="0.2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12.75" customHeight="1" x14ac:dyDescent="0.2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12.75" customHeight="1" x14ac:dyDescent="0.2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12.75" customHeight="1" x14ac:dyDescent="0.2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12.75" customHeight="1" x14ac:dyDescent="0.2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12.75" customHeight="1" x14ac:dyDescent="0.2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12.75" customHeight="1" x14ac:dyDescent="0.2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12.75" customHeight="1" x14ac:dyDescent="0.2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12.75" customHeight="1" x14ac:dyDescent="0.2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12.75" customHeight="1" x14ac:dyDescent="0.2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12.75" customHeight="1" x14ac:dyDescent="0.2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12.75" customHeight="1" x14ac:dyDescent="0.2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12.75" customHeight="1" x14ac:dyDescent="0.2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12.75" customHeight="1" x14ac:dyDescent="0.2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12.75" customHeight="1" x14ac:dyDescent="0.2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12.75" customHeight="1" x14ac:dyDescent="0.2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12.75" customHeight="1" x14ac:dyDescent="0.2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12.7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12.7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12.7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12.7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12.75" customHeight="1" x14ac:dyDescent="0.2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12.75" customHeight="1" x14ac:dyDescent="0.2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12.75" customHeight="1" x14ac:dyDescent="0.2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12.75" customHeight="1" x14ac:dyDescent="0.2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12.75" customHeight="1" x14ac:dyDescent="0.2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12.75" customHeight="1" x14ac:dyDescent="0.2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12.7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12.7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12.75" customHeight="1" x14ac:dyDescent="0.2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12.75" customHeight="1" x14ac:dyDescent="0.2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12.75" customHeight="1" x14ac:dyDescent="0.2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2.75" customHeight="1" x14ac:dyDescent="0.2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12.75" customHeight="1" x14ac:dyDescent="0.2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12.75" customHeight="1" x14ac:dyDescent="0.2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12.75" customHeight="1" x14ac:dyDescent="0.2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12.75" customHeight="1" x14ac:dyDescent="0.2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12.75" customHeight="1" x14ac:dyDescent="0.2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12.75" customHeight="1" x14ac:dyDescent="0.2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12.75" customHeight="1" x14ac:dyDescent="0.2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12.75" customHeight="1" x14ac:dyDescent="0.2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12.75" customHeight="1" x14ac:dyDescent="0.2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12.75" customHeight="1" x14ac:dyDescent="0.2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12.75" customHeight="1" x14ac:dyDescent="0.2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12.75" customHeight="1" x14ac:dyDescent="0.2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12.75" customHeight="1" x14ac:dyDescent="0.2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12.75" customHeight="1" x14ac:dyDescent="0.2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12.75" customHeight="1" x14ac:dyDescent="0.2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12.75" customHeight="1" x14ac:dyDescent="0.2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12.75" customHeight="1" x14ac:dyDescent="0.2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12.75" customHeight="1" x14ac:dyDescent="0.2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12.75" customHeight="1" x14ac:dyDescent="0.2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12.75" customHeight="1" x14ac:dyDescent="0.2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2.75" customHeight="1" x14ac:dyDescent="0.2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12.75" customHeight="1" x14ac:dyDescent="0.2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12.75" customHeight="1" x14ac:dyDescent="0.2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12.75" customHeight="1" x14ac:dyDescent="0.2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12.75" customHeight="1" x14ac:dyDescent="0.2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12.75" customHeight="1" x14ac:dyDescent="0.2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12.75" customHeight="1" x14ac:dyDescent="0.2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12.75" customHeight="1" x14ac:dyDescent="0.2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12.75" customHeight="1" x14ac:dyDescent="0.2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12.75" customHeight="1" x14ac:dyDescent="0.2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12.75" customHeight="1" x14ac:dyDescent="0.2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12.75" customHeight="1" x14ac:dyDescent="0.2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12.75" customHeight="1" x14ac:dyDescent="0.2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12.75" customHeight="1" x14ac:dyDescent="0.2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12.75" customHeight="1" x14ac:dyDescent="0.2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12.75" customHeight="1" x14ac:dyDescent="0.2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12.75" customHeight="1" x14ac:dyDescent="0.2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12.75" customHeight="1" x14ac:dyDescent="0.2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12.75" customHeight="1" x14ac:dyDescent="0.2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12.75" customHeight="1" x14ac:dyDescent="0.2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12.75" customHeight="1" x14ac:dyDescent="0.2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2.75" customHeight="1" x14ac:dyDescent="0.2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12.75" customHeight="1" x14ac:dyDescent="0.2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12.75" customHeight="1" x14ac:dyDescent="0.2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12.75" customHeight="1" x14ac:dyDescent="0.2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12.75" customHeight="1" x14ac:dyDescent="0.2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12.75" customHeight="1" x14ac:dyDescent="0.2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12.75" customHeight="1" x14ac:dyDescent="0.2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12.75" customHeight="1" x14ac:dyDescent="0.2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12.75" customHeight="1" x14ac:dyDescent="0.2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12.75" customHeight="1" x14ac:dyDescent="0.2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12.75" customHeight="1" x14ac:dyDescent="0.2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12.75" customHeight="1" x14ac:dyDescent="0.2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12.75" customHeight="1" x14ac:dyDescent="0.2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12.75" customHeight="1" x14ac:dyDescent="0.2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12.75" customHeight="1" x14ac:dyDescent="0.2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12.75" customHeight="1" x14ac:dyDescent="0.2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12.75" customHeight="1" x14ac:dyDescent="0.2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12.75" customHeight="1" x14ac:dyDescent="0.2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12.75" customHeight="1" x14ac:dyDescent="0.2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12.75" customHeight="1" x14ac:dyDescent="0.2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12.75" customHeight="1" x14ac:dyDescent="0.2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2.75" customHeight="1" x14ac:dyDescent="0.2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12.75" customHeight="1" x14ac:dyDescent="0.2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12.75" customHeight="1" x14ac:dyDescent="0.2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12.75" customHeight="1" x14ac:dyDescent="0.2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12.75" customHeight="1" x14ac:dyDescent="0.2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12.75" customHeight="1" x14ac:dyDescent="0.2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12.75" customHeight="1" x14ac:dyDescent="0.2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12.75" customHeight="1" x14ac:dyDescent="0.2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12.75" customHeight="1" x14ac:dyDescent="0.2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12.75" customHeight="1" x14ac:dyDescent="0.2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12.75" customHeight="1" x14ac:dyDescent="0.2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12.75" customHeight="1" x14ac:dyDescent="0.2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12.75" customHeight="1" x14ac:dyDescent="0.2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12.75" customHeight="1" x14ac:dyDescent="0.2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12.75" customHeight="1" x14ac:dyDescent="0.2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12.75" customHeight="1" x14ac:dyDescent="0.2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12.75" customHeight="1" x14ac:dyDescent="0.2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12.75" customHeight="1" x14ac:dyDescent="0.2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12.75" customHeight="1" x14ac:dyDescent="0.2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12.75" customHeight="1" x14ac:dyDescent="0.2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12.75" customHeight="1" x14ac:dyDescent="0.2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2.75" customHeight="1" x14ac:dyDescent="0.2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12.75" customHeight="1" x14ac:dyDescent="0.2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12.75" customHeight="1" x14ac:dyDescent="0.2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12.75" customHeight="1" x14ac:dyDescent="0.2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12.75" customHeight="1" x14ac:dyDescent="0.2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12.75" customHeight="1" x14ac:dyDescent="0.2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12.75" customHeight="1" x14ac:dyDescent="0.2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12.75" customHeight="1" x14ac:dyDescent="0.2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12.75" customHeight="1" x14ac:dyDescent="0.2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12.75" customHeight="1" x14ac:dyDescent="0.2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12.75" customHeight="1" x14ac:dyDescent="0.2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12.75" customHeight="1" x14ac:dyDescent="0.2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12.75" customHeight="1" x14ac:dyDescent="0.2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12.75" customHeight="1" x14ac:dyDescent="0.2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12.75" customHeight="1" x14ac:dyDescent="0.2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12.75" customHeight="1" x14ac:dyDescent="0.2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12.75" customHeight="1" x14ac:dyDescent="0.2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12.75" customHeight="1" x14ac:dyDescent="0.2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12.75" customHeight="1" x14ac:dyDescent="0.2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12.75" customHeight="1" x14ac:dyDescent="0.2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12.75" customHeight="1" x14ac:dyDescent="0.2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2.75" customHeight="1" x14ac:dyDescent="0.2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12.75" customHeight="1" x14ac:dyDescent="0.2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12.75" customHeight="1" x14ac:dyDescent="0.2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12.75" customHeight="1" x14ac:dyDescent="0.2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12.75" customHeight="1" x14ac:dyDescent="0.2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12.75" customHeight="1" x14ac:dyDescent="0.2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12.75" customHeight="1" x14ac:dyDescent="0.2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12.75" customHeight="1" x14ac:dyDescent="0.2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12.75" customHeight="1" x14ac:dyDescent="0.2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12.75" customHeight="1" x14ac:dyDescent="0.2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12.75" customHeight="1" x14ac:dyDescent="0.2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12.75" customHeight="1" x14ac:dyDescent="0.2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12.75" customHeight="1" x14ac:dyDescent="0.2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12.75" customHeight="1" x14ac:dyDescent="0.2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12.75" customHeight="1" x14ac:dyDescent="0.2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12.75" customHeight="1" x14ac:dyDescent="0.2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12.75" customHeight="1" x14ac:dyDescent="0.2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12.75" customHeight="1" x14ac:dyDescent="0.2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12.75" customHeight="1" x14ac:dyDescent="0.2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12.75" customHeight="1" x14ac:dyDescent="0.2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12.75" customHeight="1" x14ac:dyDescent="0.2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2.75" customHeight="1" x14ac:dyDescent="0.2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12.75" customHeight="1" x14ac:dyDescent="0.2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12.75" customHeight="1" x14ac:dyDescent="0.2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12.75" customHeight="1" x14ac:dyDescent="0.2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12.75" customHeight="1" x14ac:dyDescent="0.2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12.75" customHeight="1" x14ac:dyDescent="0.2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12.75" customHeight="1" x14ac:dyDescent="0.2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12.75" customHeight="1" x14ac:dyDescent="0.2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12.75" customHeight="1" x14ac:dyDescent="0.2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12.75" customHeight="1" x14ac:dyDescent="0.2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12.75" customHeight="1" x14ac:dyDescent="0.2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12.75" customHeight="1" x14ac:dyDescent="0.2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12.75" customHeight="1" x14ac:dyDescent="0.2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12.75" customHeight="1" x14ac:dyDescent="0.2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12.75" customHeight="1" x14ac:dyDescent="0.2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12.75" customHeight="1" x14ac:dyDescent="0.2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12.75" customHeight="1" x14ac:dyDescent="0.2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12.75" customHeight="1" x14ac:dyDescent="0.2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12.75" customHeight="1" x14ac:dyDescent="0.2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12.75" customHeight="1" x14ac:dyDescent="0.2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12.75" customHeight="1" x14ac:dyDescent="0.2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2.75" customHeight="1" x14ac:dyDescent="0.2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12.75" customHeight="1" x14ac:dyDescent="0.2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12.75" customHeight="1" x14ac:dyDescent="0.2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12.75" customHeight="1" x14ac:dyDescent="0.2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12.75" customHeight="1" x14ac:dyDescent="0.2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12.75" customHeight="1" x14ac:dyDescent="0.2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12.75" customHeight="1" x14ac:dyDescent="0.2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12.75" customHeight="1" x14ac:dyDescent="0.2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12.75" customHeight="1" x14ac:dyDescent="0.2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12.75" customHeight="1" x14ac:dyDescent="0.2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12.75" customHeight="1" x14ac:dyDescent="0.2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12.75" customHeight="1" x14ac:dyDescent="0.2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12.75" customHeight="1" x14ac:dyDescent="0.2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12.75" customHeight="1" x14ac:dyDescent="0.2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12.75" customHeight="1" x14ac:dyDescent="0.2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12.75" customHeight="1" x14ac:dyDescent="0.2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12.75" customHeight="1" x14ac:dyDescent="0.2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12.75" customHeight="1" x14ac:dyDescent="0.2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12.75" customHeight="1" x14ac:dyDescent="0.2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12.75" customHeight="1" x14ac:dyDescent="0.2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12.75" customHeight="1" x14ac:dyDescent="0.2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2.75" customHeight="1" x14ac:dyDescent="0.2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12.75" customHeight="1" x14ac:dyDescent="0.2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12.75" customHeight="1" x14ac:dyDescent="0.2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12.75" customHeight="1" x14ac:dyDescent="0.2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12.75" customHeight="1" x14ac:dyDescent="0.2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12.75" customHeight="1" x14ac:dyDescent="0.2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12.75" customHeight="1" x14ac:dyDescent="0.2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12.75" customHeight="1" x14ac:dyDescent="0.2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12.75" customHeight="1" x14ac:dyDescent="0.2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12.75" customHeight="1" x14ac:dyDescent="0.2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12.75" customHeight="1" x14ac:dyDescent="0.2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12.75" customHeight="1" x14ac:dyDescent="0.2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12.75" customHeight="1" x14ac:dyDescent="0.2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12.75" customHeight="1" x14ac:dyDescent="0.2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12.75" customHeight="1" x14ac:dyDescent="0.2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12.75" customHeight="1" x14ac:dyDescent="0.2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12.75" customHeight="1" x14ac:dyDescent="0.2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12.75" customHeight="1" x14ac:dyDescent="0.2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12.75" customHeight="1" x14ac:dyDescent="0.2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12.75" customHeight="1" x14ac:dyDescent="0.2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12.75" customHeight="1" x14ac:dyDescent="0.2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2.75" customHeight="1" x14ac:dyDescent="0.2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12.75" customHeight="1" x14ac:dyDescent="0.2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12.75" customHeight="1" x14ac:dyDescent="0.2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12.75" customHeight="1" x14ac:dyDescent="0.2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12.75" customHeight="1" x14ac:dyDescent="0.2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12.75" customHeight="1" x14ac:dyDescent="0.2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12.75" customHeight="1" x14ac:dyDescent="0.2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12.75" customHeight="1" x14ac:dyDescent="0.2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12.75" customHeight="1" x14ac:dyDescent="0.2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12.75" customHeight="1" x14ac:dyDescent="0.2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12.75" customHeight="1" x14ac:dyDescent="0.2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12.75" customHeight="1" x14ac:dyDescent="0.2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12.75" customHeight="1" x14ac:dyDescent="0.2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12.75" customHeight="1" x14ac:dyDescent="0.2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12.75" customHeight="1" x14ac:dyDescent="0.2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12.75" customHeight="1" x14ac:dyDescent="0.2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12.75" customHeight="1" x14ac:dyDescent="0.2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12.75" customHeight="1" x14ac:dyDescent="0.2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12.75" customHeight="1" x14ac:dyDescent="0.2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12.75" customHeight="1" x14ac:dyDescent="0.2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12.75" customHeight="1" x14ac:dyDescent="0.2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2.75" customHeight="1" x14ac:dyDescent="0.2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12.75" customHeight="1" x14ac:dyDescent="0.2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12.75" customHeight="1" x14ac:dyDescent="0.2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12.75" customHeight="1" x14ac:dyDescent="0.2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12.75" customHeight="1" x14ac:dyDescent="0.2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12.75" customHeight="1" x14ac:dyDescent="0.2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12.75" customHeight="1" x14ac:dyDescent="0.2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12.75" customHeight="1" x14ac:dyDescent="0.2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12.75" customHeight="1" x14ac:dyDescent="0.2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12.75" customHeight="1" x14ac:dyDescent="0.2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12.75" customHeight="1" x14ac:dyDescent="0.2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12.75" customHeight="1" x14ac:dyDescent="0.2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12.75" customHeight="1" x14ac:dyDescent="0.2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12.75" customHeight="1" x14ac:dyDescent="0.2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12.75" customHeight="1" x14ac:dyDescent="0.2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12.75" customHeight="1" x14ac:dyDescent="0.2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12.75" customHeight="1" x14ac:dyDescent="0.2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12.75" customHeight="1" x14ac:dyDescent="0.2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12.75" customHeight="1" x14ac:dyDescent="0.2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12.75" customHeight="1" x14ac:dyDescent="0.2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12.75" customHeight="1" x14ac:dyDescent="0.2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2.75" customHeight="1" x14ac:dyDescent="0.2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12.75" customHeight="1" x14ac:dyDescent="0.2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12.75" customHeight="1" x14ac:dyDescent="0.2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12.75" customHeight="1" x14ac:dyDescent="0.2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12.75" customHeight="1" x14ac:dyDescent="0.2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12.75" customHeight="1" x14ac:dyDescent="0.2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12.75" customHeight="1" x14ac:dyDescent="0.2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12.75" customHeight="1" x14ac:dyDescent="0.2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12.75" customHeight="1" x14ac:dyDescent="0.2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12.75" customHeight="1" x14ac:dyDescent="0.2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12.75" customHeight="1" x14ac:dyDescent="0.2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12.75" customHeight="1" x14ac:dyDescent="0.2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12.75" customHeight="1" x14ac:dyDescent="0.2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12.75" customHeight="1" x14ac:dyDescent="0.2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12.75" customHeight="1" x14ac:dyDescent="0.2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12.75" customHeight="1" x14ac:dyDescent="0.2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12.75" customHeight="1" x14ac:dyDescent="0.2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12.75" customHeight="1" x14ac:dyDescent="0.2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12.75" customHeight="1" x14ac:dyDescent="0.2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12.75" customHeight="1" x14ac:dyDescent="0.2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12.75" customHeight="1" x14ac:dyDescent="0.2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2.75" customHeight="1" x14ac:dyDescent="0.2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12.75" customHeight="1" x14ac:dyDescent="0.2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12.75" customHeight="1" x14ac:dyDescent="0.2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12.75" customHeight="1" x14ac:dyDescent="0.2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12.75" customHeight="1" x14ac:dyDescent="0.2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12.75" customHeight="1" x14ac:dyDescent="0.2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12.75" customHeight="1" x14ac:dyDescent="0.2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12.75" customHeight="1" x14ac:dyDescent="0.2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12.75" customHeight="1" x14ac:dyDescent="0.2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12.75" customHeight="1" x14ac:dyDescent="0.2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12.75" customHeight="1" x14ac:dyDescent="0.2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12.75" customHeight="1" x14ac:dyDescent="0.2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12.75" customHeight="1" x14ac:dyDescent="0.2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12.75" customHeight="1" x14ac:dyDescent="0.2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12.75" customHeight="1" x14ac:dyDescent="0.2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12.75" customHeight="1" x14ac:dyDescent="0.2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12.75" customHeight="1" x14ac:dyDescent="0.2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12.75" customHeight="1" x14ac:dyDescent="0.2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12.75" customHeight="1" x14ac:dyDescent="0.2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12.75" customHeight="1" x14ac:dyDescent="0.2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12.75" customHeight="1" x14ac:dyDescent="0.2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2.75" customHeight="1" x14ac:dyDescent="0.2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12.75" customHeight="1" x14ac:dyDescent="0.2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12.75" customHeight="1" x14ac:dyDescent="0.2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12.75" customHeight="1" x14ac:dyDescent="0.2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12.75" customHeight="1" x14ac:dyDescent="0.2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12.75" customHeight="1" x14ac:dyDescent="0.2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12.75" customHeight="1" x14ac:dyDescent="0.2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12.75" customHeight="1" x14ac:dyDescent="0.2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12.75" customHeight="1" x14ac:dyDescent="0.2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12.75" customHeight="1" x14ac:dyDescent="0.2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12.75" customHeight="1" x14ac:dyDescent="0.2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12.75" customHeight="1" x14ac:dyDescent="0.2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12.75" customHeight="1" x14ac:dyDescent="0.2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12.75" customHeight="1" x14ac:dyDescent="0.2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12.75" customHeight="1" x14ac:dyDescent="0.2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12.75" customHeight="1" x14ac:dyDescent="0.2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12.75" customHeight="1" x14ac:dyDescent="0.2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12.75" customHeight="1" x14ac:dyDescent="0.2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12.75" customHeight="1" x14ac:dyDescent="0.2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12.75" customHeight="1" x14ac:dyDescent="0.2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12.75" customHeight="1" x14ac:dyDescent="0.2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2.75" customHeight="1" x14ac:dyDescent="0.2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12.75" customHeight="1" x14ac:dyDescent="0.2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12.75" customHeight="1" x14ac:dyDescent="0.2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12.75" customHeight="1" x14ac:dyDescent="0.2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12.75" customHeight="1" x14ac:dyDescent="0.2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12.75" customHeight="1" x14ac:dyDescent="0.2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12.75" customHeight="1" x14ac:dyDescent="0.2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12.75" customHeight="1" x14ac:dyDescent="0.2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12.75" customHeight="1" x14ac:dyDescent="0.2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12.75" customHeight="1" x14ac:dyDescent="0.2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12.75" customHeight="1" x14ac:dyDescent="0.2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12.75" customHeight="1" x14ac:dyDescent="0.2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12.75" customHeight="1" x14ac:dyDescent="0.2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12.75" customHeight="1" x14ac:dyDescent="0.2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12.75" customHeight="1" x14ac:dyDescent="0.2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12.75" customHeight="1" x14ac:dyDescent="0.2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12.75" customHeight="1" x14ac:dyDescent="0.2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12.75" customHeight="1" x14ac:dyDescent="0.2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12.75" customHeight="1" x14ac:dyDescent="0.2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12.75" customHeight="1" x14ac:dyDescent="0.2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12.75" customHeight="1" x14ac:dyDescent="0.2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2.75" customHeight="1" x14ac:dyDescent="0.2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12.75" customHeight="1" x14ac:dyDescent="0.2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12.75" customHeight="1" x14ac:dyDescent="0.2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12.75" customHeight="1" x14ac:dyDescent="0.2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12.75" customHeight="1" x14ac:dyDescent="0.2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12.75" customHeight="1" x14ac:dyDescent="0.2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12.75" customHeight="1" x14ac:dyDescent="0.2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12.75" customHeight="1" x14ac:dyDescent="0.2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12.75" customHeight="1" x14ac:dyDescent="0.2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12.75" customHeight="1" x14ac:dyDescent="0.2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12.75" customHeight="1" x14ac:dyDescent="0.2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12.75" customHeight="1" x14ac:dyDescent="0.2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12.75" customHeight="1" x14ac:dyDescent="0.2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12.75" customHeight="1" x14ac:dyDescent="0.2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12.75" customHeight="1" x14ac:dyDescent="0.2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12.75" customHeight="1" x14ac:dyDescent="0.2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12.75" customHeight="1" x14ac:dyDescent="0.2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12.75" customHeight="1" x14ac:dyDescent="0.2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12.75" customHeight="1" x14ac:dyDescent="0.2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12.75" customHeight="1" x14ac:dyDescent="0.2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12.75" customHeight="1" x14ac:dyDescent="0.2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2.75" customHeight="1" x14ac:dyDescent="0.2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12.75" customHeight="1" x14ac:dyDescent="0.2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12.75" customHeight="1" x14ac:dyDescent="0.2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12.75" customHeight="1" x14ac:dyDescent="0.2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12.75" customHeight="1" x14ac:dyDescent="0.2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12.75" customHeight="1" x14ac:dyDescent="0.2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12.75" customHeight="1" x14ac:dyDescent="0.2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12.75" customHeight="1" x14ac:dyDescent="0.2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12.75" customHeight="1" x14ac:dyDescent="0.2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12.75" customHeight="1" x14ac:dyDescent="0.2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12.75" customHeight="1" x14ac:dyDescent="0.2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12.75" customHeight="1" x14ac:dyDescent="0.2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12.75" customHeight="1" x14ac:dyDescent="0.2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12.75" customHeight="1" x14ac:dyDescent="0.2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12.75" customHeight="1" x14ac:dyDescent="0.2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12.75" customHeight="1" x14ac:dyDescent="0.2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12.75" customHeight="1" x14ac:dyDescent="0.2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12.75" customHeight="1" x14ac:dyDescent="0.2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12.75" customHeight="1" x14ac:dyDescent="0.2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12.75" customHeight="1" x14ac:dyDescent="0.2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12.75" customHeight="1" x14ac:dyDescent="0.2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12.75" customHeight="1" x14ac:dyDescent="0.2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12.75" customHeight="1" x14ac:dyDescent="0.2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12.75" customHeight="1" x14ac:dyDescent="0.2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12.75" customHeight="1" x14ac:dyDescent="0.2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12.75" customHeight="1" x14ac:dyDescent="0.2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12.75" customHeight="1" x14ac:dyDescent="0.2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12.75" customHeight="1" x14ac:dyDescent="0.2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12.75" customHeight="1" x14ac:dyDescent="0.2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12.75" customHeight="1" x14ac:dyDescent="0.2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12.75" customHeight="1" x14ac:dyDescent="0.2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12.75" customHeight="1" x14ac:dyDescent="0.2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12.75" customHeight="1" x14ac:dyDescent="0.2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12.75" customHeight="1" x14ac:dyDescent="0.2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12.75" customHeight="1" x14ac:dyDescent="0.2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12.75" customHeight="1" x14ac:dyDescent="0.2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12.75" customHeight="1" x14ac:dyDescent="0.2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12.75" customHeight="1" x14ac:dyDescent="0.2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12.75" customHeight="1" x14ac:dyDescent="0.2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12.75" customHeight="1" x14ac:dyDescent="0.2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12.75" customHeight="1" x14ac:dyDescent="0.2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12.75" customHeight="1" x14ac:dyDescent="0.2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12.75" customHeight="1" x14ac:dyDescent="0.2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12.75" customHeight="1" x14ac:dyDescent="0.2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12.75" customHeight="1" x14ac:dyDescent="0.2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12.75" customHeight="1" x14ac:dyDescent="0.2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12.75" customHeight="1" x14ac:dyDescent="0.2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12.75" customHeight="1" x14ac:dyDescent="0.2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12.75" customHeight="1" x14ac:dyDescent="0.2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12.75" customHeight="1" x14ac:dyDescent="0.2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12.75" customHeight="1" x14ac:dyDescent="0.2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12.75" customHeight="1" x14ac:dyDescent="0.2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12.75" customHeight="1" x14ac:dyDescent="0.2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12.75" customHeight="1" x14ac:dyDescent="0.2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12.75" customHeight="1" x14ac:dyDescent="0.2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12.75" customHeight="1" x14ac:dyDescent="0.2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12.75" customHeight="1" x14ac:dyDescent="0.2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12.75" customHeight="1" x14ac:dyDescent="0.2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12.75" customHeight="1" x14ac:dyDescent="0.2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12.75" customHeight="1" x14ac:dyDescent="0.2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12.75" customHeight="1" x14ac:dyDescent="0.2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12.75" customHeight="1" x14ac:dyDescent="0.2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12.75" customHeight="1" x14ac:dyDescent="0.2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12.75" customHeight="1" x14ac:dyDescent="0.2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12.75" customHeight="1" x14ac:dyDescent="0.2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12.75" customHeight="1" x14ac:dyDescent="0.2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12.75" customHeight="1" x14ac:dyDescent="0.2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12.75" customHeight="1" x14ac:dyDescent="0.2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12.75" customHeight="1" x14ac:dyDescent="0.2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12.75" customHeight="1" x14ac:dyDescent="0.2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12.75" customHeight="1" x14ac:dyDescent="0.2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12.75" customHeight="1" x14ac:dyDescent="0.2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12.75" customHeight="1" x14ac:dyDescent="0.2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12.75" customHeight="1" x14ac:dyDescent="0.2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12.75" customHeight="1" x14ac:dyDescent="0.2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12.75" customHeight="1" x14ac:dyDescent="0.2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12.75" customHeight="1" x14ac:dyDescent="0.2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12.75" customHeight="1" x14ac:dyDescent="0.2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12.75" customHeight="1" x14ac:dyDescent="0.2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12.75" customHeight="1" x14ac:dyDescent="0.2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12.75" customHeight="1" x14ac:dyDescent="0.2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12.75" customHeight="1" x14ac:dyDescent="0.2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12.75" customHeight="1" x14ac:dyDescent="0.2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12.75" customHeight="1" x14ac:dyDescent="0.2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12.75" customHeight="1" x14ac:dyDescent="0.2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12.75" customHeight="1" x14ac:dyDescent="0.2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12.75" customHeight="1" x14ac:dyDescent="0.2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12.75" customHeight="1" x14ac:dyDescent="0.2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12.75" customHeight="1" x14ac:dyDescent="0.2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12.75" customHeight="1" x14ac:dyDescent="0.2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12.75" customHeight="1" x14ac:dyDescent="0.2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12.75" customHeight="1" x14ac:dyDescent="0.2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12.75" customHeight="1" x14ac:dyDescent="0.2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12.75" customHeight="1" x14ac:dyDescent="0.2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12.75" customHeight="1" x14ac:dyDescent="0.2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12.75" customHeight="1" x14ac:dyDescent="0.2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12.75" customHeight="1" x14ac:dyDescent="0.2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12.75" customHeight="1" x14ac:dyDescent="0.2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12.75" customHeight="1" x14ac:dyDescent="0.2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12.75" customHeight="1" x14ac:dyDescent="0.2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12.75" customHeight="1" x14ac:dyDescent="0.2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12.75" customHeight="1" x14ac:dyDescent="0.2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12.75" customHeight="1" x14ac:dyDescent="0.2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12.75" customHeight="1" x14ac:dyDescent="0.2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12.75" customHeight="1" x14ac:dyDescent="0.2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12.75" customHeight="1" x14ac:dyDescent="0.2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12.75" customHeight="1" x14ac:dyDescent="0.2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12.75" customHeight="1" x14ac:dyDescent="0.2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12.75" customHeight="1" x14ac:dyDescent="0.2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12.75" customHeight="1" x14ac:dyDescent="0.2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12.75" customHeight="1" x14ac:dyDescent="0.2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12.75" customHeight="1" x14ac:dyDescent="0.2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12.75" customHeight="1" x14ac:dyDescent="0.2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12.75" customHeight="1" x14ac:dyDescent="0.2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12.75" customHeight="1" x14ac:dyDescent="0.2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12.75" customHeight="1" x14ac:dyDescent="0.2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12.75" customHeight="1" x14ac:dyDescent="0.2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12.75" customHeight="1" x14ac:dyDescent="0.2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12.75" customHeight="1" x14ac:dyDescent="0.2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12.75" customHeight="1" x14ac:dyDescent="0.2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12.75" customHeight="1" x14ac:dyDescent="0.2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12.75" customHeight="1" x14ac:dyDescent="0.2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12.75" customHeight="1" x14ac:dyDescent="0.2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12.75" customHeight="1" x14ac:dyDescent="0.2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12.75" customHeight="1" x14ac:dyDescent="0.2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12.75" customHeight="1" x14ac:dyDescent="0.2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12.75" customHeight="1" x14ac:dyDescent="0.2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12.75" customHeight="1" x14ac:dyDescent="0.2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12.75" customHeight="1" x14ac:dyDescent="0.2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12.75" customHeight="1" x14ac:dyDescent="0.2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12.75" customHeight="1" x14ac:dyDescent="0.2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12.75" customHeight="1" x14ac:dyDescent="0.2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12.75" customHeight="1" x14ac:dyDescent="0.2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12.75" customHeight="1" x14ac:dyDescent="0.2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12.75" customHeight="1" x14ac:dyDescent="0.2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12.75" customHeight="1" x14ac:dyDescent="0.2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12.75" customHeight="1" x14ac:dyDescent="0.2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12.75" customHeight="1" x14ac:dyDescent="0.2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12.75" customHeight="1" x14ac:dyDescent="0.2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12.75" customHeight="1" x14ac:dyDescent="0.2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12.75" customHeight="1" x14ac:dyDescent="0.2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12.75" customHeight="1" x14ac:dyDescent="0.2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12.75" customHeight="1" x14ac:dyDescent="0.2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12.75" customHeight="1" x14ac:dyDescent="0.2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12.75" customHeight="1" x14ac:dyDescent="0.2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12.75" customHeight="1" x14ac:dyDescent="0.2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12.75" customHeight="1" x14ac:dyDescent="0.2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12.75" customHeight="1" x14ac:dyDescent="0.2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12.75" customHeight="1" x14ac:dyDescent="0.2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12.75" customHeight="1" x14ac:dyDescent="0.2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12.75" customHeight="1" x14ac:dyDescent="0.2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12.75" customHeight="1" x14ac:dyDescent="0.2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12.75" customHeight="1" x14ac:dyDescent="0.2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12.75" customHeight="1" x14ac:dyDescent="0.2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12.75" customHeight="1" x14ac:dyDescent="0.2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12.75" customHeight="1" x14ac:dyDescent="0.2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12.75" customHeight="1" x14ac:dyDescent="0.2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12.75" customHeight="1" x14ac:dyDescent="0.2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12.75" customHeight="1" x14ac:dyDescent="0.2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12.75" customHeight="1" x14ac:dyDescent="0.2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12.75" customHeight="1" x14ac:dyDescent="0.2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12.75" customHeight="1" x14ac:dyDescent="0.2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12.75" customHeight="1" x14ac:dyDescent="0.2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12.75" customHeight="1" x14ac:dyDescent="0.2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12.75" customHeight="1" x14ac:dyDescent="0.2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12.75" customHeight="1" x14ac:dyDescent="0.2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12.75" customHeight="1" x14ac:dyDescent="0.2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12.75" customHeight="1" x14ac:dyDescent="0.2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12.75" customHeight="1" x14ac:dyDescent="0.2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12.75" customHeight="1" x14ac:dyDescent="0.2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12.75" customHeight="1" x14ac:dyDescent="0.2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12.75" customHeight="1" x14ac:dyDescent="0.2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12.75" customHeight="1" x14ac:dyDescent="0.2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12.75" customHeight="1" x14ac:dyDescent="0.2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12.75" customHeight="1" x14ac:dyDescent="0.2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12.75" customHeight="1" x14ac:dyDescent="0.2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12.75" customHeight="1" x14ac:dyDescent="0.2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12.75" customHeight="1" x14ac:dyDescent="0.2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12.75" customHeight="1" x14ac:dyDescent="0.2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12.75" customHeight="1" x14ac:dyDescent="0.2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12.75" customHeight="1" x14ac:dyDescent="0.2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12.75" customHeight="1" x14ac:dyDescent="0.2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12.75" customHeight="1" x14ac:dyDescent="0.2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12.75" customHeight="1" x14ac:dyDescent="0.2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12.75" customHeight="1" x14ac:dyDescent="0.2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12.75" customHeight="1" x14ac:dyDescent="0.2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12.75" customHeight="1" x14ac:dyDescent="0.2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12.75" customHeight="1" x14ac:dyDescent="0.2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12.75" customHeight="1" x14ac:dyDescent="0.2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12.75" customHeight="1" x14ac:dyDescent="0.2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12.75" customHeight="1" x14ac:dyDescent="0.2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12.75" customHeight="1" x14ac:dyDescent="0.2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12.75" customHeight="1" x14ac:dyDescent="0.2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12.75" customHeight="1" x14ac:dyDescent="0.2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12.75" customHeight="1" x14ac:dyDescent="0.2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12.75" customHeight="1" x14ac:dyDescent="0.2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12.75" customHeight="1" x14ac:dyDescent="0.2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12.75" customHeight="1" x14ac:dyDescent="0.2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12.75" customHeight="1" x14ac:dyDescent="0.2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12.75" customHeight="1" x14ac:dyDescent="0.2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12.75" customHeight="1" x14ac:dyDescent="0.2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12.75" customHeight="1" x14ac:dyDescent="0.2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12.75" customHeight="1" x14ac:dyDescent="0.2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12.75" customHeight="1" x14ac:dyDescent="0.2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12.75" customHeight="1" x14ac:dyDescent="0.2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12.75" customHeight="1" x14ac:dyDescent="0.2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12.75" customHeight="1" x14ac:dyDescent="0.2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12.75" customHeight="1" x14ac:dyDescent="0.2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12.75" customHeight="1" x14ac:dyDescent="0.2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12.75" customHeight="1" x14ac:dyDescent="0.2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12.75" customHeight="1" x14ac:dyDescent="0.2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12.75" customHeight="1" x14ac:dyDescent="0.2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12.75" customHeight="1" x14ac:dyDescent="0.2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12.75" customHeight="1" x14ac:dyDescent="0.2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12.75" customHeight="1" x14ac:dyDescent="0.2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12.75" customHeight="1" x14ac:dyDescent="0.2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12.75" customHeight="1" x14ac:dyDescent="0.2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12.75" customHeight="1" x14ac:dyDescent="0.2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12.75" customHeight="1" x14ac:dyDescent="0.2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12.75" customHeight="1" x14ac:dyDescent="0.2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12.75" customHeight="1" x14ac:dyDescent="0.2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12.75" customHeight="1" x14ac:dyDescent="0.2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12.75" customHeight="1" x14ac:dyDescent="0.2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12.75" customHeight="1" x14ac:dyDescent="0.2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12.75" customHeight="1" x14ac:dyDescent="0.2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12.75" customHeight="1" x14ac:dyDescent="0.2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12.75" customHeight="1" x14ac:dyDescent="0.2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12.75" customHeight="1" x14ac:dyDescent="0.2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12.75" customHeight="1" x14ac:dyDescent="0.2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12.75" customHeight="1" x14ac:dyDescent="0.2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12.75" customHeight="1" x14ac:dyDescent="0.2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12.75" customHeight="1" x14ac:dyDescent="0.2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12.75" customHeight="1" x14ac:dyDescent="0.2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12.75" customHeight="1" x14ac:dyDescent="0.2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12.75" customHeight="1" x14ac:dyDescent="0.2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12.75" customHeight="1" x14ac:dyDescent="0.2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12.75" customHeight="1" x14ac:dyDescent="0.2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12.75" customHeight="1" x14ac:dyDescent="0.2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12.75" customHeight="1" x14ac:dyDescent="0.2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12.75" customHeight="1" x14ac:dyDescent="0.2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12.75" customHeight="1" x14ac:dyDescent="0.2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12.75" customHeight="1" x14ac:dyDescent="0.2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12.75" customHeight="1" x14ac:dyDescent="0.2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12.75" customHeight="1" x14ac:dyDescent="0.2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12.75" customHeight="1" x14ac:dyDescent="0.2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12.75" customHeight="1" x14ac:dyDescent="0.2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12.75" customHeight="1" x14ac:dyDescent="0.2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12.75" customHeight="1" x14ac:dyDescent="0.2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12.75" customHeight="1" x14ac:dyDescent="0.2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12.75" customHeight="1" x14ac:dyDescent="0.2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12.75" customHeight="1" x14ac:dyDescent="0.2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12.75" customHeight="1" x14ac:dyDescent="0.2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12.75" customHeight="1" x14ac:dyDescent="0.2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12.75" customHeight="1" x14ac:dyDescent="0.2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12.75" customHeight="1" x14ac:dyDescent="0.2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12.75" customHeight="1" x14ac:dyDescent="0.2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12.75" customHeight="1" x14ac:dyDescent="0.2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12.75" customHeight="1" x14ac:dyDescent="0.2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12.75" customHeight="1" x14ac:dyDescent="0.2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12.75" customHeight="1" x14ac:dyDescent="0.2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12.75" customHeight="1" x14ac:dyDescent="0.2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12.75" customHeight="1" x14ac:dyDescent="0.2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12.75" customHeight="1" x14ac:dyDescent="0.2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12.75" customHeight="1" x14ac:dyDescent="0.2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12.75" customHeight="1" x14ac:dyDescent="0.2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12.75" customHeight="1" x14ac:dyDescent="0.2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12.75" customHeight="1" x14ac:dyDescent="0.2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12.75" customHeight="1" x14ac:dyDescent="0.2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12.75" customHeight="1" x14ac:dyDescent="0.2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12.75" customHeight="1" x14ac:dyDescent="0.2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12.75" customHeight="1" x14ac:dyDescent="0.2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12.75" customHeight="1" x14ac:dyDescent="0.2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12.75" customHeight="1" x14ac:dyDescent="0.2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12.75" customHeight="1" x14ac:dyDescent="0.2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12.75" customHeight="1" x14ac:dyDescent="0.2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12.75" customHeight="1" x14ac:dyDescent="0.2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12.75" customHeight="1" x14ac:dyDescent="0.2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12.75" customHeight="1" x14ac:dyDescent="0.2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12.75" customHeight="1" x14ac:dyDescent="0.2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12.75" customHeight="1" x14ac:dyDescent="0.2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12.75" customHeight="1" x14ac:dyDescent="0.2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12.75" customHeight="1" x14ac:dyDescent="0.2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12.75" customHeight="1" x14ac:dyDescent="0.2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12.75" customHeight="1" x14ac:dyDescent="0.2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12.75" customHeight="1" x14ac:dyDescent="0.2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12.75" customHeight="1" x14ac:dyDescent="0.2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12.75" customHeight="1" x14ac:dyDescent="0.2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12.75" customHeight="1" x14ac:dyDescent="0.2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12.75" customHeight="1" x14ac:dyDescent="0.2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12.75" customHeight="1" x14ac:dyDescent="0.2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12.75" customHeight="1" x14ac:dyDescent="0.2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12.75" customHeight="1" x14ac:dyDescent="0.2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12.75" customHeight="1" x14ac:dyDescent="0.2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12.75" customHeight="1" x14ac:dyDescent="0.2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12.75" customHeight="1" x14ac:dyDescent="0.2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12.75" customHeight="1" x14ac:dyDescent="0.2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12.75" customHeight="1" x14ac:dyDescent="0.2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12.75" customHeight="1" x14ac:dyDescent="0.2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12.75" customHeight="1" x14ac:dyDescent="0.2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12.75" customHeight="1" x14ac:dyDescent="0.2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12.75" customHeight="1" x14ac:dyDescent="0.2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12.75" customHeight="1" x14ac:dyDescent="0.2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12.75" customHeight="1" x14ac:dyDescent="0.2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12.75" customHeight="1" x14ac:dyDescent="0.2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12.75" customHeight="1" x14ac:dyDescent="0.2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12.75" customHeight="1" x14ac:dyDescent="0.2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12.75" customHeight="1" x14ac:dyDescent="0.2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12.75" customHeight="1" x14ac:dyDescent="0.2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12.75" customHeight="1" x14ac:dyDescent="0.2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12.75" customHeight="1" x14ac:dyDescent="0.2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12.75" customHeight="1" x14ac:dyDescent="0.2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12.75" customHeight="1" x14ac:dyDescent="0.2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12.75" customHeight="1" x14ac:dyDescent="0.2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12.75" customHeight="1" x14ac:dyDescent="0.2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12.75" customHeight="1" x14ac:dyDescent="0.2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12.75" customHeight="1" x14ac:dyDescent="0.2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12.75" customHeight="1" x14ac:dyDescent="0.2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12.75" customHeight="1" x14ac:dyDescent="0.2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12.75" customHeight="1" x14ac:dyDescent="0.2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12.75" customHeight="1" x14ac:dyDescent="0.2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12.75" customHeight="1" x14ac:dyDescent="0.2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12.75" customHeight="1" x14ac:dyDescent="0.2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12.75" customHeight="1" x14ac:dyDescent="0.2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12.75" customHeight="1" x14ac:dyDescent="0.2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12.75" customHeight="1" x14ac:dyDescent="0.2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12.75" customHeight="1" x14ac:dyDescent="0.2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12.75" customHeight="1" x14ac:dyDescent="0.2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12.75" customHeight="1" x14ac:dyDescent="0.2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12.75" customHeight="1" x14ac:dyDescent="0.2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12.75" customHeight="1" x14ac:dyDescent="0.2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12.75" customHeight="1" x14ac:dyDescent="0.2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12.75" customHeight="1" x14ac:dyDescent="0.2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12.75" customHeight="1" x14ac:dyDescent="0.2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12.75" customHeight="1" x14ac:dyDescent="0.2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12.75" customHeight="1" x14ac:dyDescent="0.2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12.75" customHeight="1" x14ac:dyDescent="0.2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12.75" customHeight="1" x14ac:dyDescent="0.2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12.75" customHeight="1" x14ac:dyDescent="0.2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12.75" customHeight="1" x14ac:dyDescent="0.2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12.75" customHeight="1" x14ac:dyDescent="0.2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12.75" customHeight="1" x14ac:dyDescent="0.2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12.75" customHeight="1" x14ac:dyDescent="0.2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12.75" customHeight="1" x14ac:dyDescent="0.2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12.75" customHeight="1" x14ac:dyDescent="0.2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12.75" customHeight="1" x14ac:dyDescent="0.2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12.75" customHeight="1" x14ac:dyDescent="0.2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12.75" customHeight="1" x14ac:dyDescent="0.2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12.75" customHeight="1" x14ac:dyDescent="0.2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12.75" customHeight="1" x14ac:dyDescent="0.2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12.75" customHeight="1" x14ac:dyDescent="0.2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12.75" customHeight="1" x14ac:dyDescent="0.2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12.75" customHeight="1" x14ac:dyDescent="0.2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12.75" customHeight="1" x14ac:dyDescent="0.2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12.75" customHeight="1" x14ac:dyDescent="0.2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12.75" customHeight="1" x14ac:dyDescent="0.2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12.75" customHeight="1" x14ac:dyDescent="0.2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12.75" customHeight="1" x14ac:dyDescent="0.2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12.75" customHeight="1" x14ac:dyDescent="0.2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12.75" customHeight="1" x14ac:dyDescent="0.2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12.75" customHeight="1" x14ac:dyDescent="0.2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12.75" customHeight="1" x14ac:dyDescent="0.2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12.75" customHeight="1" x14ac:dyDescent="0.2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12.75" customHeight="1" x14ac:dyDescent="0.2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12.75" customHeight="1" x14ac:dyDescent="0.2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12.75" customHeight="1" x14ac:dyDescent="0.2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12.75" customHeight="1" x14ac:dyDescent="0.2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12.75" customHeight="1" x14ac:dyDescent="0.2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12.75" customHeight="1" x14ac:dyDescent="0.2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12.75" customHeight="1" x14ac:dyDescent="0.2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3">
    <mergeCell ref="C4:D4"/>
    <mergeCell ref="C5:D5"/>
    <mergeCell ref="B2:K2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1.21875" defaultRowHeight="15" customHeight="1" x14ac:dyDescent="0.2"/>
  <cols>
    <col min="1" max="1" width="3.77734375" customWidth="1"/>
    <col min="2" max="2" width="10.44140625" customWidth="1"/>
    <col min="3" max="4" width="10.77734375" customWidth="1"/>
    <col min="5" max="5" width="10" customWidth="1"/>
    <col min="6" max="6" width="10.77734375" customWidth="1"/>
    <col min="7" max="7" width="9.77734375" customWidth="1"/>
    <col min="8" max="8" width="4.21875" customWidth="1"/>
    <col min="9" max="10" width="6.77734375" customWidth="1"/>
    <col min="11" max="12" width="11.109375" customWidth="1"/>
    <col min="13" max="21" width="8.77734375" customWidth="1"/>
    <col min="22" max="26" width="8" customWidth="1"/>
  </cols>
  <sheetData>
    <row r="1" spans="1:26" ht="12.75" customHeight="1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62"/>
      <c r="W1" s="62"/>
      <c r="X1" s="62"/>
      <c r="Y1" s="62"/>
      <c r="Z1" s="62"/>
    </row>
    <row r="2" spans="1:26" ht="24.75" customHeight="1" x14ac:dyDescent="0.2">
      <c r="A2" s="109"/>
      <c r="B2" s="352" t="s">
        <v>120</v>
      </c>
      <c r="C2" s="298"/>
      <c r="D2" s="298"/>
      <c r="E2" s="298"/>
      <c r="F2" s="298"/>
      <c r="G2" s="298"/>
      <c r="H2" s="298"/>
      <c r="I2" s="298"/>
      <c r="J2" s="298"/>
      <c r="K2" s="35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62"/>
      <c r="W2" s="62"/>
      <c r="X2" s="62"/>
      <c r="Y2" s="62"/>
      <c r="Z2" s="62"/>
    </row>
    <row r="3" spans="1:26" ht="12.75" customHeight="1" x14ac:dyDescent="0.2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62"/>
      <c r="W3" s="62"/>
      <c r="X3" s="62"/>
      <c r="Y3" s="62"/>
      <c r="Z3" s="62"/>
    </row>
    <row r="4" spans="1:26" ht="31.5" customHeight="1" x14ac:dyDescent="0.2">
      <c r="A4" s="109"/>
      <c r="B4" s="109"/>
      <c r="C4" s="311" t="s">
        <v>121</v>
      </c>
      <c r="D4" s="313"/>
      <c r="E4" s="110" t="s">
        <v>26</v>
      </c>
      <c r="F4" s="110" t="s">
        <v>27</v>
      </c>
      <c r="G4" s="110" t="s">
        <v>28</v>
      </c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62"/>
      <c r="W4" s="62"/>
      <c r="X4" s="62"/>
      <c r="Y4" s="62"/>
      <c r="Z4" s="62"/>
    </row>
    <row r="5" spans="1:26" ht="18" customHeight="1" x14ac:dyDescent="0.2">
      <c r="A5" s="109"/>
      <c r="B5" s="109"/>
      <c r="C5" s="351">
        <v>20000</v>
      </c>
      <c r="D5" s="282"/>
      <c r="E5" s="111">
        <v>20</v>
      </c>
      <c r="F5" s="111">
        <v>3</v>
      </c>
      <c r="G5" s="112">
        <v>1</v>
      </c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62"/>
      <c r="W5" s="62"/>
      <c r="X5" s="62"/>
      <c r="Y5" s="62"/>
      <c r="Z5" s="62"/>
    </row>
    <row r="6" spans="1:26" ht="12.75" customHeight="1" x14ac:dyDescent="0.2">
      <c r="A6" s="109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62"/>
      <c r="W6" s="62"/>
      <c r="X6" s="62"/>
      <c r="Y6" s="62"/>
      <c r="Z6" s="62"/>
    </row>
    <row r="7" spans="1:26" ht="12.75" customHeight="1" x14ac:dyDescent="0.2">
      <c r="A7" s="109"/>
      <c r="B7" s="113"/>
      <c r="C7" s="114"/>
      <c r="D7" s="114"/>
      <c r="E7" s="114"/>
      <c r="F7" s="114"/>
      <c r="G7" s="115">
        <f>G5/100</f>
        <v>0.01</v>
      </c>
      <c r="H7" s="114"/>
      <c r="I7" s="114"/>
      <c r="J7" s="114"/>
      <c r="K7" s="116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62"/>
      <c r="W7" s="62"/>
      <c r="X7" s="62"/>
      <c r="Y7" s="62"/>
      <c r="Z7" s="62"/>
    </row>
    <row r="8" spans="1:26" ht="12.75" customHeight="1" x14ac:dyDescent="0.2">
      <c r="A8" s="109"/>
      <c r="B8" s="117" t="s">
        <v>122</v>
      </c>
      <c r="C8" s="117" t="s">
        <v>123</v>
      </c>
      <c r="D8" s="117" t="s">
        <v>124</v>
      </c>
      <c r="E8" s="117" t="s">
        <v>125</v>
      </c>
      <c r="F8" s="117" t="s">
        <v>126</v>
      </c>
      <c r="G8" s="117" t="s">
        <v>127</v>
      </c>
      <c r="H8" s="117" t="s">
        <v>128</v>
      </c>
      <c r="I8" s="118" t="s">
        <v>129</v>
      </c>
      <c r="J8" s="117" t="s">
        <v>130</v>
      </c>
      <c r="K8" s="117" t="s">
        <v>131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62"/>
      <c r="W8" s="62"/>
      <c r="X8" s="62"/>
      <c r="Y8" s="62"/>
      <c r="Z8" s="62"/>
    </row>
    <row r="9" spans="1:26" ht="12.75" customHeight="1" x14ac:dyDescent="0.2">
      <c r="A9" s="109"/>
      <c r="B9" s="119"/>
      <c r="C9" s="120"/>
      <c r="D9" s="120"/>
      <c r="E9" s="120"/>
      <c r="F9" s="120"/>
      <c r="G9" s="121">
        <f>C5</f>
        <v>20000</v>
      </c>
      <c r="H9" s="120"/>
      <c r="I9" s="121"/>
      <c r="J9" s="122"/>
      <c r="K9" s="123">
        <f>G9</f>
        <v>20000</v>
      </c>
      <c r="L9" s="109"/>
      <c r="M9" s="124"/>
      <c r="N9" s="109"/>
      <c r="O9" s="109"/>
      <c r="P9" s="109"/>
      <c r="Q9" s="109"/>
      <c r="R9" s="109"/>
      <c r="S9" s="109"/>
      <c r="T9" s="109"/>
      <c r="U9" s="109"/>
      <c r="V9" s="62"/>
      <c r="W9" s="62"/>
      <c r="X9" s="62"/>
      <c r="Y9" s="62"/>
      <c r="Z9" s="62"/>
    </row>
    <row r="10" spans="1:26" ht="12.75" customHeight="1" x14ac:dyDescent="0.2">
      <c r="A10" s="109"/>
      <c r="B10" s="125">
        <f>C10+B9</f>
        <v>200</v>
      </c>
      <c r="C10" s="121">
        <f t="shared" ref="C10:C29" si="0">ROUND(G9*$G$7,2)</f>
        <v>200</v>
      </c>
      <c r="D10" s="121">
        <f t="shared" ref="D10:D29" si="1">ROUND(IF(J10="Sim",0,B10*I10),2)</f>
        <v>0</v>
      </c>
      <c r="E10" s="133">
        <v>0</v>
      </c>
      <c r="F10" s="121">
        <f t="shared" ref="F10:F29" si="2">E10+D10</f>
        <v>0</v>
      </c>
      <c r="G10" s="121">
        <f t="shared" ref="G10:G29" si="3">G9+C10-F10</f>
        <v>20200</v>
      </c>
      <c r="H10" s="120">
        <v>1</v>
      </c>
      <c r="I10" s="126">
        <f t="shared" ref="I10:I29" si="4">IF(K9=0,0,E10/K9)</f>
        <v>0</v>
      </c>
      <c r="J10" s="122" t="str">
        <f t="shared" ref="J10:J29" si="5">IF(H10&lt;=$F$5,"Sim","Não")</f>
        <v>Sim</v>
      </c>
      <c r="K10" s="123">
        <f t="shared" ref="K10:K29" si="6">K9-E10</f>
        <v>20000</v>
      </c>
      <c r="L10" s="109"/>
      <c r="M10" s="124"/>
      <c r="N10" s="109"/>
      <c r="O10" s="109"/>
      <c r="P10" s="109"/>
      <c r="Q10" s="109"/>
      <c r="R10" s="109"/>
      <c r="S10" s="109"/>
      <c r="T10" s="109"/>
      <c r="U10" s="109"/>
      <c r="V10" s="62"/>
      <c r="W10" s="62"/>
      <c r="X10" s="62"/>
      <c r="Y10" s="62"/>
      <c r="Z10" s="62"/>
    </row>
    <row r="11" spans="1:26" ht="12.75" customHeight="1" x14ac:dyDescent="0.2">
      <c r="A11" s="109"/>
      <c r="B11" s="125">
        <f t="shared" ref="B11:B29" si="7">C11+B10-D10</f>
        <v>402</v>
      </c>
      <c r="C11" s="121">
        <f t="shared" si="0"/>
        <v>202</v>
      </c>
      <c r="D11" s="121">
        <f t="shared" si="1"/>
        <v>0</v>
      </c>
      <c r="E11" s="133">
        <v>0</v>
      </c>
      <c r="F11" s="121">
        <f t="shared" si="2"/>
        <v>0</v>
      </c>
      <c r="G11" s="121">
        <f t="shared" si="3"/>
        <v>20402</v>
      </c>
      <c r="H11" s="120">
        <v>2</v>
      </c>
      <c r="I11" s="126">
        <f t="shared" si="4"/>
        <v>0</v>
      </c>
      <c r="J11" s="122" t="str">
        <f t="shared" si="5"/>
        <v>Sim</v>
      </c>
      <c r="K11" s="123">
        <f t="shared" si="6"/>
        <v>20000</v>
      </c>
      <c r="L11" s="109"/>
      <c r="M11" s="124"/>
      <c r="N11" s="109"/>
      <c r="O11" s="109"/>
      <c r="P11" s="109"/>
      <c r="Q11" s="109"/>
      <c r="R11" s="109"/>
      <c r="S11" s="109"/>
      <c r="T11" s="109"/>
      <c r="U11" s="109"/>
      <c r="V11" s="62"/>
      <c r="W11" s="62"/>
      <c r="X11" s="62"/>
      <c r="Y11" s="62"/>
      <c r="Z11" s="62"/>
    </row>
    <row r="12" spans="1:26" ht="12.75" customHeight="1" x14ac:dyDescent="0.2">
      <c r="A12" s="109"/>
      <c r="B12" s="125">
        <f t="shared" si="7"/>
        <v>606.02</v>
      </c>
      <c r="C12" s="121">
        <f t="shared" si="0"/>
        <v>204.02</v>
      </c>
      <c r="D12" s="121">
        <f t="shared" si="1"/>
        <v>0</v>
      </c>
      <c r="E12" s="133">
        <v>0</v>
      </c>
      <c r="F12" s="121">
        <f t="shared" si="2"/>
        <v>0</v>
      </c>
      <c r="G12" s="121">
        <f t="shared" si="3"/>
        <v>20606.02</v>
      </c>
      <c r="H12" s="120">
        <v>3</v>
      </c>
      <c r="I12" s="126">
        <f t="shared" si="4"/>
        <v>0</v>
      </c>
      <c r="J12" s="122" t="str">
        <f t="shared" si="5"/>
        <v>Sim</v>
      </c>
      <c r="K12" s="123">
        <f t="shared" si="6"/>
        <v>20000</v>
      </c>
      <c r="L12" s="109"/>
      <c r="M12" s="124"/>
      <c r="N12" s="109"/>
      <c r="O12" s="109"/>
      <c r="P12" s="109"/>
      <c r="Q12" s="109"/>
      <c r="R12" s="109"/>
      <c r="S12" s="109"/>
      <c r="T12" s="109"/>
      <c r="U12" s="109"/>
      <c r="V12" s="62"/>
      <c r="W12" s="62"/>
      <c r="X12" s="62"/>
      <c r="Y12" s="62"/>
      <c r="Z12" s="62"/>
    </row>
    <row r="13" spans="1:26" ht="12.75" customHeight="1" x14ac:dyDescent="0.2">
      <c r="A13" s="109"/>
      <c r="B13" s="125">
        <f t="shared" si="7"/>
        <v>812.07999999999993</v>
      </c>
      <c r="C13" s="121">
        <f t="shared" si="0"/>
        <v>206.06</v>
      </c>
      <c r="D13" s="121">
        <f t="shared" si="1"/>
        <v>47.77</v>
      </c>
      <c r="E13" s="133">
        <v>1176.47</v>
      </c>
      <c r="F13" s="121">
        <f t="shared" si="2"/>
        <v>1224.24</v>
      </c>
      <c r="G13" s="121">
        <f t="shared" si="3"/>
        <v>19587.84</v>
      </c>
      <c r="H13" s="120">
        <v>4</v>
      </c>
      <c r="I13" s="126">
        <f t="shared" si="4"/>
        <v>5.8823500000000001E-2</v>
      </c>
      <c r="J13" s="122" t="str">
        <f t="shared" si="5"/>
        <v>Não</v>
      </c>
      <c r="K13" s="123">
        <f t="shared" si="6"/>
        <v>18823.53</v>
      </c>
      <c r="L13" s="109"/>
      <c r="M13" s="124"/>
      <c r="N13" s="109"/>
      <c r="O13" s="109"/>
      <c r="P13" s="109"/>
      <c r="Q13" s="109"/>
      <c r="R13" s="109"/>
      <c r="S13" s="109"/>
      <c r="T13" s="109"/>
      <c r="U13" s="109"/>
      <c r="V13" s="62"/>
      <c r="W13" s="62"/>
      <c r="X13" s="62"/>
      <c r="Y13" s="62"/>
      <c r="Z13" s="62"/>
    </row>
    <row r="14" spans="1:26" ht="12.75" customHeight="1" x14ac:dyDescent="0.2">
      <c r="A14" s="109"/>
      <c r="B14" s="125">
        <f t="shared" si="7"/>
        <v>960.18999999999994</v>
      </c>
      <c r="C14" s="121">
        <f t="shared" si="0"/>
        <v>195.88</v>
      </c>
      <c r="D14" s="121">
        <f t="shared" si="1"/>
        <v>60.01</v>
      </c>
      <c r="E14" s="133">
        <v>1176.47</v>
      </c>
      <c r="F14" s="121">
        <f t="shared" si="2"/>
        <v>1236.48</v>
      </c>
      <c r="G14" s="121">
        <f t="shared" si="3"/>
        <v>18547.240000000002</v>
      </c>
      <c r="H14" s="120">
        <v>5</v>
      </c>
      <c r="I14" s="126">
        <f t="shared" si="4"/>
        <v>6.2499966796876041E-2</v>
      </c>
      <c r="J14" s="122" t="str">
        <f t="shared" si="5"/>
        <v>Não</v>
      </c>
      <c r="K14" s="123">
        <f t="shared" si="6"/>
        <v>17647.059999999998</v>
      </c>
      <c r="L14" s="109"/>
      <c r="M14" s="124"/>
      <c r="N14" s="109"/>
      <c r="O14" s="109"/>
      <c r="P14" s="109"/>
      <c r="Q14" s="109"/>
      <c r="R14" s="109"/>
      <c r="S14" s="109"/>
      <c r="T14" s="109"/>
      <c r="U14" s="109"/>
      <c r="V14" s="62"/>
      <c r="W14" s="62"/>
      <c r="X14" s="62"/>
      <c r="Y14" s="62"/>
      <c r="Z14" s="62"/>
    </row>
    <row r="15" spans="1:26" ht="12.75" customHeight="1" x14ac:dyDescent="0.2">
      <c r="A15" s="109"/>
      <c r="B15" s="125">
        <f t="shared" si="7"/>
        <v>1085.6499999999999</v>
      </c>
      <c r="C15" s="121">
        <f t="shared" si="0"/>
        <v>185.47</v>
      </c>
      <c r="D15" s="121">
        <f t="shared" si="1"/>
        <v>72.38</v>
      </c>
      <c r="E15" s="133">
        <v>1176.47</v>
      </c>
      <c r="F15" s="121">
        <f t="shared" si="2"/>
        <v>1248.8499999999999</v>
      </c>
      <c r="G15" s="121">
        <f t="shared" si="3"/>
        <v>17483.860000000004</v>
      </c>
      <c r="H15" s="120">
        <v>6</v>
      </c>
      <c r="I15" s="126">
        <f t="shared" si="4"/>
        <v>6.6666628888891424E-2</v>
      </c>
      <c r="J15" s="122" t="str">
        <f t="shared" si="5"/>
        <v>Não</v>
      </c>
      <c r="K15" s="123">
        <f t="shared" si="6"/>
        <v>16470.589999999997</v>
      </c>
      <c r="L15" s="109"/>
      <c r="M15" s="124"/>
      <c r="N15" s="109"/>
      <c r="O15" s="109"/>
      <c r="P15" s="109"/>
      <c r="Q15" s="109"/>
      <c r="R15" s="109"/>
      <c r="S15" s="109"/>
      <c r="T15" s="109"/>
      <c r="U15" s="109"/>
      <c r="V15" s="62"/>
      <c r="W15" s="62"/>
      <c r="X15" s="62"/>
      <c r="Y15" s="62"/>
      <c r="Z15" s="62"/>
    </row>
    <row r="16" spans="1:26" ht="12.75" customHeight="1" x14ac:dyDescent="0.2">
      <c r="A16" s="109"/>
      <c r="B16" s="125">
        <f t="shared" si="7"/>
        <v>1188.1099999999997</v>
      </c>
      <c r="C16" s="121">
        <f t="shared" si="0"/>
        <v>174.84</v>
      </c>
      <c r="D16" s="121">
        <f t="shared" si="1"/>
        <v>84.86</v>
      </c>
      <c r="E16" s="133">
        <v>1176.47</v>
      </c>
      <c r="F16" s="121">
        <f t="shared" si="2"/>
        <v>1261.33</v>
      </c>
      <c r="G16" s="121">
        <f t="shared" si="3"/>
        <v>16397.370000000003</v>
      </c>
      <c r="H16" s="120">
        <v>7</v>
      </c>
      <c r="I16" s="126">
        <f t="shared" si="4"/>
        <v>7.1428528061229152E-2</v>
      </c>
      <c r="J16" s="122" t="str">
        <f t="shared" si="5"/>
        <v>Não</v>
      </c>
      <c r="K16" s="123">
        <f t="shared" si="6"/>
        <v>15294.119999999997</v>
      </c>
      <c r="L16" s="109"/>
      <c r="M16" s="124"/>
      <c r="N16" s="109"/>
      <c r="O16" s="109"/>
      <c r="P16" s="109"/>
      <c r="Q16" s="109"/>
      <c r="R16" s="109"/>
      <c r="S16" s="109"/>
      <c r="T16" s="109"/>
      <c r="U16" s="109"/>
      <c r="V16" s="62"/>
      <c r="W16" s="62"/>
      <c r="X16" s="62"/>
      <c r="Y16" s="62"/>
      <c r="Z16" s="62"/>
    </row>
    <row r="17" spans="1:26" ht="12.75" customHeight="1" x14ac:dyDescent="0.2">
      <c r="A17" s="109"/>
      <c r="B17" s="125">
        <f t="shared" si="7"/>
        <v>1267.2199999999998</v>
      </c>
      <c r="C17" s="121">
        <f t="shared" si="0"/>
        <v>163.97</v>
      </c>
      <c r="D17" s="121">
        <f t="shared" si="1"/>
        <v>97.48</v>
      </c>
      <c r="E17" s="133">
        <v>1176.47</v>
      </c>
      <c r="F17" s="121">
        <f t="shared" si="2"/>
        <v>1273.95</v>
      </c>
      <c r="G17" s="121">
        <f t="shared" si="3"/>
        <v>15287.390000000003</v>
      </c>
      <c r="H17" s="120">
        <v>8</v>
      </c>
      <c r="I17" s="126">
        <f t="shared" si="4"/>
        <v>7.6923026627226693E-2</v>
      </c>
      <c r="J17" s="122" t="str">
        <f t="shared" si="5"/>
        <v>Não</v>
      </c>
      <c r="K17" s="123">
        <f t="shared" si="6"/>
        <v>14117.649999999998</v>
      </c>
      <c r="L17" s="109"/>
      <c r="M17" s="124"/>
      <c r="N17" s="109"/>
      <c r="O17" s="109"/>
      <c r="P17" s="109"/>
      <c r="Q17" s="109"/>
      <c r="R17" s="109"/>
      <c r="S17" s="109"/>
      <c r="T17" s="109"/>
      <c r="U17" s="109"/>
      <c r="V17" s="62"/>
      <c r="W17" s="62"/>
      <c r="X17" s="62"/>
      <c r="Y17" s="62"/>
      <c r="Z17" s="62"/>
    </row>
    <row r="18" spans="1:26" ht="12.75" customHeight="1" x14ac:dyDescent="0.2">
      <c r="A18" s="109"/>
      <c r="B18" s="125">
        <f t="shared" si="7"/>
        <v>1322.6099999999997</v>
      </c>
      <c r="C18" s="121">
        <f t="shared" si="0"/>
        <v>152.87</v>
      </c>
      <c r="D18" s="121">
        <f t="shared" si="1"/>
        <v>110.22</v>
      </c>
      <c r="E18" s="133">
        <v>1176.47</v>
      </c>
      <c r="F18" s="121">
        <f t="shared" si="2"/>
        <v>1286.69</v>
      </c>
      <c r="G18" s="121">
        <f t="shared" si="3"/>
        <v>14153.570000000003</v>
      </c>
      <c r="H18" s="120">
        <v>9</v>
      </c>
      <c r="I18" s="126">
        <f t="shared" si="4"/>
        <v>8.3333274305567862E-2</v>
      </c>
      <c r="J18" s="122" t="str">
        <f t="shared" si="5"/>
        <v>Não</v>
      </c>
      <c r="K18" s="123">
        <f t="shared" si="6"/>
        <v>12941.179999999998</v>
      </c>
      <c r="L18" s="109"/>
      <c r="M18" s="124"/>
      <c r="N18" s="109"/>
      <c r="O18" s="109"/>
      <c r="P18" s="109"/>
      <c r="Q18" s="109"/>
      <c r="R18" s="109"/>
      <c r="S18" s="109"/>
      <c r="T18" s="109"/>
      <c r="U18" s="109"/>
      <c r="V18" s="62"/>
      <c r="W18" s="62"/>
      <c r="X18" s="62"/>
      <c r="Y18" s="62"/>
      <c r="Z18" s="62"/>
    </row>
    <row r="19" spans="1:26" ht="12.75" customHeight="1" x14ac:dyDescent="0.2">
      <c r="A19" s="109"/>
      <c r="B19" s="125">
        <f t="shared" si="7"/>
        <v>1353.9299999999996</v>
      </c>
      <c r="C19" s="121">
        <f t="shared" si="0"/>
        <v>141.54</v>
      </c>
      <c r="D19" s="121">
        <f t="shared" si="1"/>
        <v>123.08</v>
      </c>
      <c r="E19" s="133">
        <v>1176.47</v>
      </c>
      <c r="F19" s="121">
        <f t="shared" si="2"/>
        <v>1299.55</v>
      </c>
      <c r="G19" s="121">
        <f t="shared" si="3"/>
        <v>12995.560000000005</v>
      </c>
      <c r="H19" s="120">
        <v>10</v>
      </c>
      <c r="I19" s="126">
        <f t="shared" si="4"/>
        <v>9.090902066117619E-2</v>
      </c>
      <c r="J19" s="122" t="str">
        <f t="shared" si="5"/>
        <v>Não</v>
      </c>
      <c r="K19" s="123">
        <f t="shared" si="6"/>
        <v>11764.71</v>
      </c>
      <c r="L19" s="109"/>
      <c r="M19" s="124"/>
      <c r="N19" s="109"/>
      <c r="O19" s="109"/>
      <c r="P19" s="109"/>
      <c r="Q19" s="109"/>
      <c r="R19" s="109"/>
      <c r="S19" s="109"/>
      <c r="T19" s="109"/>
      <c r="U19" s="109"/>
      <c r="V19" s="62"/>
      <c r="W19" s="62"/>
      <c r="X19" s="62"/>
      <c r="Y19" s="62"/>
      <c r="Z19" s="62"/>
    </row>
    <row r="20" spans="1:26" ht="12.75" customHeight="1" x14ac:dyDescent="0.2">
      <c r="A20" s="109"/>
      <c r="B20" s="125">
        <f t="shared" si="7"/>
        <v>1360.8099999999997</v>
      </c>
      <c r="C20" s="121">
        <f t="shared" si="0"/>
        <v>129.96</v>
      </c>
      <c r="D20" s="121">
        <f t="shared" si="1"/>
        <v>136.08000000000001</v>
      </c>
      <c r="E20" s="133">
        <v>1176.47</v>
      </c>
      <c r="F20" s="121">
        <f t="shared" si="2"/>
        <v>1312.55</v>
      </c>
      <c r="G20" s="121">
        <f t="shared" si="3"/>
        <v>11812.970000000005</v>
      </c>
      <c r="H20" s="120">
        <v>11</v>
      </c>
      <c r="I20" s="126">
        <f t="shared" si="4"/>
        <v>9.9999915000029763E-2</v>
      </c>
      <c r="J20" s="122" t="str">
        <f t="shared" si="5"/>
        <v>Não</v>
      </c>
      <c r="K20" s="123">
        <f t="shared" si="6"/>
        <v>10588.24</v>
      </c>
      <c r="L20" s="109"/>
      <c r="M20" s="124"/>
      <c r="N20" s="109"/>
      <c r="O20" s="109"/>
      <c r="P20" s="109"/>
      <c r="Q20" s="109"/>
      <c r="R20" s="109"/>
      <c r="S20" s="109"/>
      <c r="T20" s="109"/>
      <c r="U20" s="109"/>
      <c r="V20" s="62"/>
      <c r="W20" s="62"/>
      <c r="X20" s="62"/>
      <c r="Y20" s="62"/>
      <c r="Z20" s="62"/>
    </row>
    <row r="21" spans="1:26" ht="12.75" customHeight="1" x14ac:dyDescent="0.2">
      <c r="A21" s="109"/>
      <c r="B21" s="125">
        <f t="shared" si="7"/>
        <v>1342.8599999999997</v>
      </c>
      <c r="C21" s="121">
        <f t="shared" si="0"/>
        <v>118.13</v>
      </c>
      <c r="D21" s="121">
        <f t="shared" si="1"/>
        <v>149.21</v>
      </c>
      <c r="E21" s="133">
        <v>1176.47</v>
      </c>
      <c r="F21" s="121">
        <f t="shared" si="2"/>
        <v>1325.68</v>
      </c>
      <c r="G21" s="121">
        <f t="shared" si="3"/>
        <v>10605.420000000004</v>
      </c>
      <c r="H21" s="120">
        <v>12</v>
      </c>
      <c r="I21" s="126">
        <f t="shared" si="4"/>
        <v>0.11111100617288615</v>
      </c>
      <c r="J21" s="122" t="str">
        <f t="shared" si="5"/>
        <v>Não</v>
      </c>
      <c r="K21" s="123">
        <f t="shared" si="6"/>
        <v>9411.77</v>
      </c>
      <c r="L21" s="109"/>
      <c r="M21" s="124"/>
      <c r="N21" s="109"/>
      <c r="O21" s="109"/>
      <c r="P21" s="109"/>
      <c r="Q21" s="109"/>
      <c r="R21" s="109"/>
      <c r="S21" s="109"/>
      <c r="T21" s="109"/>
      <c r="U21" s="109"/>
      <c r="V21" s="62"/>
      <c r="W21" s="62"/>
      <c r="X21" s="62"/>
      <c r="Y21" s="62"/>
      <c r="Z21" s="62"/>
    </row>
    <row r="22" spans="1:26" ht="12.75" customHeight="1" x14ac:dyDescent="0.2">
      <c r="A22" s="109"/>
      <c r="B22" s="125">
        <f t="shared" si="7"/>
        <v>1299.6999999999996</v>
      </c>
      <c r="C22" s="121">
        <f t="shared" si="0"/>
        <v>106.05</v>
      </c>
      <c r="D22" s="121">
        <f t="shared" si="1"/>
        <v>162.46</v>
      </c>
      <c r="E22" s="133">
        <v>1176.47</v>
      </c>
      <c r="F22" s="121">
        <f t="shared" si="2"/>
        <v>1338.93</v>
      </c>
      <c r="G22" s="121">
        <f t="shared" si="3"/>
        <v>9372.5400000000027</v>
      </c>
      <c r="H22" s="120">
        <v>13</v>
      </c>
      <c r="I22" s="126">
        <f t="shared" si="4"/>
        <v>0.12499986718757471</v>
      </c>
      <c r="J22" s="122" t="str">
        <f t="shared" si="5"/>
        <v>Não</v>
      </c>
      <c r="K22" s="123">
        <f t="shared" si="6"/>
        <v>8235.3000000000011</v>
      </c>
      <c r="L22" s="109"/>
      <c r="M22" s="124"/>
      <c r="N22" s="109"/>
      <c r="O22" s="109"/>
      <c r="P22" s="109"/>
      <c r="Q22" s="109"/>
      <c r="R22" s="109"/>
      <c r="S22" s="109"/>
      <c r="T22" s="109"/>
      <c r="U22" s="109"/>
      <c r="V22" s="62"/>
      <c r="W22" s="62"/>
      <c r="X22" s="62"/>
      <c r="Y22" s="62"/>
      <c r="Z22" s="62"/>
    </row>
    <row r="23" spans="1:26" ht="12.75" customHeight="1" x14ac:dyDescent="0.2">
      <c r="A23" s="109"/>
      <c r="B23" s="125">
        <f t="shared" si="7"/>
        <v>1230.9699999999996</v>
      </c>
      <c r="C23" s="121">
        <f t="shared" si="0"/>
        <v>93.73</v>
      </c>
      <c r="D23" s="121">
        <f t="shared" si="1"/>
        <v>175.85</v>
      </c>
      <c r="E23" s="133">
        <v>1176.47</v>
      </c>
      <c r="F23" s="121">
        <f t="shared" si="2"/>
        <v>1352.32</v>
      </c>
      <c r="G23" s="121">
        <f t="shared" si="3"/>
        <v>8113.9500000000025</v>
      </c>
      <c r="H23" s="120">
        <v>14</v>
      </c>
      <c r="I23" s="126">
        <f t="shared" si="4"/>
        <v>0.14285696938787898</v>
      </c>
      <c r="J23" s="122" t="str">
        <f t="shared" si="5"/>
        <v>Não</v>
      </c>
      <c r="K23" s="123">
        <f t="shared" si="6"/>
        <v>7058.8300000000008</v>
      </c>
      <c r="L23" s="109"/>
      <c r="M23" s="124"/>
      <c r="N23" s="109"/>
      <c r="O23" s="109"/>
      <c r="P23" s="109"/>
      <c r="Q23" s="109"/>
      <c r="R23" s="109"/>
      <c r="S23" s="109"/>
      <c r="T23" s="109"/>
      <c r="U23" s="109"/>
      <c r="V23" s="62"/>
      <c r="W23" s="62"/>
      <c r="X23" s="62"/>
      <c r="Y23" s="62"/>
      <c r="Z23" s="62"/>
    </row>
    <row r="24" spans="1:26" ht="12.75" customHeight="1" x14ac:dyDescent="0.2">
      <c r="A24" s="109"/>
      <c r="B24" s="125">
        <f t="shared" si="7"/>
        <v>1136.2599999999998</v>
      </c>
      <c r="C24" s="121">
        <f t="shared" si="0"/>
        <v>81.14</v>
      </c>
      <c r="D24" s="121">
        <f t="shared" si="1"/>
        <v>189.38</v>
      </c>
      <c r="E24" s="133">
        <v>1176.47</v>
      </c>
      <c r="F24" s="121">
        <f t="shared" si="2"/>
        <v>1365.85</v>
      </c>
      <c r="G24" s="121">
        <f t="shared" si="3"/>
        <v>6829.2400000000016</v>
      </c>
      <c r="H24" s="120">
        <v>15</v>
      </c>
      <c r="I24" s="126">
        <f t="shared" si="4"/>
        <v>0.16666643055577199</v>
      </c>
      <c r="J24" s="122" t="str">
        <f t="shared" si="5"/>
        <v>Não</v>
      </c>
      <c r="K24" s="123">
        <f t="shared" si="6"/>
        <v>5882.3600000000006</v>
      </c>
      <c r="L24" s="109"/>
      <c r="M24" s="124"/>
      <c r="N24" s="109"/>
      <c r="O24" s="109"/>
      <c r="P24" s="109"/>
      <c r="Q24" s="109"/>
      <c r="R24" s="109"/>
      <c r="S24" s="109"/>
      <c r="T24" s="109"/>
      <c r="U24" s="109"/>
      <c r="V24" s="62"/>
      <c r="W24" s="62"/>
      <c r="X24" s="62"/>
      <c r="Y24" s="62"/>
      <c r="Z24" s="62"/>
    </row>
    <row r="25" spans="1:26" ht="12.75" customHeight="1" x14ac:dyDescent="0.2">
      <c r="A25" s="109"/>
      <c r="B25" s="125">
        <f t="shared" si="7"/>
        <v>1015.1699999999997</v>
      </c>
      <c r="C25" s="121">
        <f t="shared" si="0"/>
        <v>68.290000000000006</v>
      </c>
      <c r="D25" s="121">
        <f t="shared" si="1"/>
        <v>203.03</v>
      </c>
      <c r="E25" s="133">
        <v>1176.47</v>
      </c>
      <c r="F25" s="121">
        <f t="shared" si="2"/>
        <v>1379.5</v>
      </c>
      <c r="G25" s="121">
        <f t="shared" si="3"/>
        <v>5518.0300000000016</v>
      </c>
      <c r="H25" s="120">
        <v>16</v>
      </c>
      <c r="I25" s="126">
        <f t="shared" si="4"/>
        <v>0.19999966000040797</v>
      </c>
      <c r="J25" s="122" t="str">
        <f t="shared" si="5"/>
        <v>Não</v>
      </c>
      <c r="K25" s="123">
        <f t="shared" si="6"/>
        <v>4705.8900000000003</v>
      </c>
      <c r="L25" s="109"/>
      <c r="M25" s="124"/>
      <c r="N25" s="109"/>
      <c r="O25" s="109"/>
      <c r="P25" s="109"/>
      <c r="Q25" s="109"/>
      <c r="R25" s="109"/>
      <c r="S25" s="109"/>
      <c r="T25" s="109"/>
      <c r="U25" s="109"/>
      <c r="V25" s="62"/>
      <c r="W25" s="62"/>
      <c r="X25" s="62"/>
      <c r="Y25" s="62"/>
      <c r="Z25" s="62"/>
    </row>
    <row r="26" spans="1:26" ht="12.75" customHeight="1" x14ac:dyDescent="0.2">
      <c r="A26" s="109"/>
      <c r="B26" s="125">
        <f t="shared" si="7"/>
        <v>867.31999999999971</v>
      </c>
      <c r="C26" s="121">
        <f t="shared" si="0"/>
        <v>55.18</v>
      </c>
      <c r="D26" s="121">
        <f t="shared" si="1"/>
        <v>216.83</v>
      </c>
      <c r="E26" s="133">
        <v>1176.47</v>
      </c>
      <c r="F26" s="121">
        <f t="shared" si="2"/>
        <v>1393.3</v>
      </c>
      <c r="G26" s="121">
        <f t="shared" si="3"/>
        <v>4179.9100000000017</v>
      </c>
      <c r="H26" s="120">
        <v>17</v>
      </c>
      <c r="I26" s="126">
        <f t="shared" si="4"/>
        <v>0.24999946875086326</v>
      </c>
      <c r="J26" s="122" t="str">
        <f t="shared" si="5"/>
        <v>Não</v>
      </c>
      <c r="K26" s="123">
        <f t="shared" si="6"/>
        <v>3529.42</v>
      </c>
      <c r="L26" s="109"/>
      <c r="M26" s="124"/>
      <c r="N26" s="109"/>
      <c r="O26" s="109"/>
      <c r="P26" s="109"/>
      <c r="Q26" s="109"/>
      <c r="R26" s="109"/>
      <c r="S26" s="109"/>
      <c r="T26" s="109"/>
      <c r="U26" s="109"/>
      <c r="V26" s="62"/>
      <c r="W26" s="62"/>
      <c r="X26" s="62"/>
      <c r="Y26" s="62"/>
      <c r="Z26" s="62"/>
    </row>
    <row r="27" spans="1:26" ht="12.75" customHeight="1" x14ac:dyDescent="0.2">
      <c r="A27" s="109"/>
      <c r="B27" s="125">
        <f t="shared" si="7"/>
        <v>692.28999999999962</v>
      </c>
      <c r="C27" s="121">
        <f t="shared" si="0"/>
        <v>41.8</v>
      </c>
      <c r="D27" s="121">
        <f t="shared" si="1"/>
        <v>230.76</v>
      </c>
      <c r="E27" s="133">
        <v>1176.47</v>
      </c>
      <c r="F27" s="121">
        <f t="shared" si="2"/>
        <v>1407.23</v>
      </c>
      <c r="G27" s="121">
        <f t="shared" si="3"/>
        <v>2814.4800000000018</v>
      </c>
      <c r="H27" s="120">
        <v>18</v>
      </c>
      <c r="I27" s="126">
        <f t="shared" si="4"/>
        <v>0.33333238889109257</v>
      </c>
      <c r="J27" s="122" t="str">
        <f t="shared" si="5"/>
        <v>Não</v>
      </c>
      <c r="K27" s="123">
        <f t="shared" si="6"/>
        <v>2352.9499999999998</v>
      </c>
      <c r="L27" s="109"/>
      <c r="M27" s="124"/>
      <c r="N27" s="109"/>
      <c r="O27" s="109"/>
      <c r="P27" s="109"/>
      <c r="Q27" s="109"/>
      <c r="R27" s="109"/>
      <c r="S27" s="109"/>
      <c r="T27" s="109"/>
      <c r="U27" s="109"/>
      <c r="V27" s="62"/>
      <c r="W27" s="62"/>
      <c r="X27" s="62"/>
      <c r="Y27" s="62"/>
      <c r="Z27" s="62"/>
    </row>
    <row r="28" spans="1:26" ht="12.75" customHeight="1" x14ac:dyDescent="0.2">
      <c r="A28" s="109"/>
      <c r="B28" s="125">
        <f t="shared" si="7"/>
        <v>489.66999999999962</v>
      </c>
      <c r="C28" s="121">
        <f t="shared" si="0"/>
        <v>28.14</v>
      </c>
      <c r="D28" s="121">
        <f t="shared" si="1"/>
        <v>244.83</v>
      </c>
      <c r="E28" s="133">
        <v>1176.47</v>
      </c>
      <c r="F28" s="121">
        <f t="shared" si="2"/>
        <v>1421.3</v>
      </c>
      <c r="G28" s="121">
        <f t="shared" si="3"/>
        <v>1421.3200000000018</v>
      </c>
      <c r="H28" s="120">
        <v>19</v>
      </c>
      <c r="I28" s="126">
        <f t="shared" si="4"/>
        <v>0.49999787500796877</v>
      </c>
      <c r="J28" s="122" t="str">
        <f t="shared" si="5"/>
        <v>Não</v>
      </c>
      <c r="K28" s="123">
        <f t="shared" si="6"/>
        <v>1176.4799999999998</v>
      </c>
      <c r="L28" s="109"/>
      <c r="M28" s="124"/>
      <c r="N28" s="109"/>
      <c r="O28" s="109"/>
      <c r="P28" s="109"/>
      <c r="Q28" s="109"/>
      <c r="R28" s="109"/>
      <c r="S28" s="109"/>
      <c r="T28" s="109"/>
      <c r="U28" s="109"/>
      <c r="V28" s="62"/>
      <c r="W28" s="62"/>
      <c r="X28" s="62"/>
      <c r="Y28" s="62"/>
      <c r="Z28" s="62"/>
    </row>
    <row r="29" spans="1:26" ht="12.75" customHeight="1" x14ac:dyDescent="0.2">
      <c r="A29" s="109"/>
      <c r="B29" s="125">
        <f t="shared" si="7"/>
        <v>259.04999999999961</v>
      </c>
      <c r="C29" s="121">
        <f t="shared" si="0"/>
        <v>14.21</v>
      </c>
      <c r="D29" s="121">
        <f t="shared" si="1"/>
        <v>259.05</v>
      </c>
      <c r="E29" s="133">
        <v>1176.48</v>
      </c>
      <c r="F29" s="121">
        <f t="shared" si="2"/>
        <v>1435.53</v>
      </c>
      <c r="G29" s="121">
        <f t="shared" si="3"/>
        <v>1.8189894035458565E-12</v>
      </c>
      <c r="H29" s="120">
        <v>20</v>
      </c>
      <c r="I29" s="126">
        <f t="shared" si="4"/>
        <v>1.0000000000000002</v>
      </c>
      <c r="J29" s="122" t="str">
        <f t="shared" si="5"/>
        <v>Não</v>
      </c>
      <c r="K29" s="123">
        <f t="shared" si="6"/>
        <v>0</v>
      </c>
      <c r="L29" s="109"/>
      <c r="M29" s="124"/>
      <c r="N29" s="109"/>
      <c r="O29" s="109"/>
      <c r="P29" s="109"/>
      <c r="Q29" s="109"/>
      <c r="R29" s="109"/>
      <c r="S29" s="109"/>
      <c r="T29" s="109"/>
      <c r="U29" s="109"/>
      <c r="V29" s="62"/>
      <c r="W29" s="62"/>
      <c r="X29" s="62"/>
      <c r="Y29" s="62"/>
      <c r="Z29" s="62"/>
    </row>
    <row r="30" spans="1:26" ht="12.75" customHeight="1" x14ac:dyDescent="0.2">
      <c r="A30" s="109"/>
      <c r="B30" s="119"/>
      <c r="C30" s="120"/>
      <c r="D30" s="120"/>
      <c r="E30" s="121"/>
      <c r="F30" s="120"/>
      <c r="G30" s="120"/>
      <c r="H30" s="120"/>
      <c r="I30" s="120"/>
      <c r="J30" s="120"/>
      <c r="K30" s="127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62"/>
      <c r="W30" s="62"/>
      <c r="X30" s="62"/>
      <c r="Y30" s="62"/>
      <c r="Z30" s="62"/>
    </row>
    <row r="31" spans="1:26" ht="12.75" customHeight="1" x14ac:dyDescent="0.2">
      <c r="A31" s="109"/>
      <c r="B31" s="119"/>
      <c r="C31" s="128">
        <f t="shared" ref="C31:F31" si="8">SUM(C10:C29)</f>
        <v>2563.2799999999997</v>
      </c>
      <c r="D31" s="128">
        <f t="shared" si="8"/>
        <v>2563.2800000000002</v>
      </c>
      <c r="E31" s="128">
        <f t="shared" si="8"/>
        <v>20000</v>
      </c>
      <c r="F31" s="128">
        <f t="shared" si="8"/>
        <v>22563.279999999995</v>
      </c>
      <c r="G31" s="121"/>
      <c r="H31" s="120"/>
      <c r="I31" s="120"/>
      <c r="J31" s="120"/>
      <c r="K31" s="127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62"/>
      <c r="W31" s="62"/>
      <c r="X31" s="62"/>
      <c r="Y31" s="62"/>
      <c r="Z31" s="62"/>
    </row>
    <row r="32" spans="1:26" ht="12.75" customHeight="1" x14ac:dyDescent="0.2">
      <c r="A32" s="109"/>
      <c r="B32" s="129"/>
      <c r="C32" s="130"/>
      <c r="D32" s="130"/>
      <c r="E32" s="130"/>
      <c r="F32" s="130"/>
      <c r="G32" s="130"/>
      <c r="H32" s="130"/>
      <c r="I32" s="130"/>
      <c r="J32" s="130"/>
      <c r="K32" s="131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62"/>
      <c r="W32" s="62"/>
      <c r="X32" s="62"/>
      <c r="Y32" s="62"/>
      <c r="Z32" s="62"/>
    </row>
    <row r="33" spans="1:26" ht="12.75" customHeight="1" x14ac:dyDescent="0.2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62"/>
      <c r="W33" s="62"/>
      <c r="X33" s="62"/>
      <c r="Y33" s="62"/>
      <c r="Z33" s="62"/>
    </row>
    <row r="34" spans="1:26" ht="12.75" customHeight="1" x14ac:dyDescent="0.2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12.75" customHeight="1" x14ac:dyDescent="0.2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12.75" customHeight="1" x14ac:dyDescent="0.2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12.75" customHeight="1" x14ac:dyDescent="0.2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12.75" customHeight="1" x14ac:dyDescent="0.2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12.75" customHeight="1" x14ac:dyDescent="0.2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12.75" customHeight="1" x14ac:dyDescent="0.2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12.75" customHeight="1" x14ac:dyDescent="0.2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12.75" customHeight="1" x14ac:dyDescent="0.2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12.75" customHeight="1" x14ac:dyDescent="0.2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12.75" customHeight="1" x14ac:dyDescent="0.2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12.75" customHeight="1" x14ac:dyDescent="0.2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12.75" customHeight="1" x14ac:dyDescent="0.2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12.75" customHeight="1" x14ac:dyDescent="0.2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12.75" customHeight="1" x14ac:dyDescent="0.2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12.75" customHeight="1" x14ac:dyDescent="0.2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12.75" customHeight="1" x14ac:dyDescent="0.2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12.75" customHeight="1" x14ac:dyDescent="0.2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12.75" customHeight="1" x14ac:dyDescent="0.2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12.75" customHeight="1" x14ac:dyDescent="0.2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12.75" customHeight="1" x14ac:dyDescent="0.2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12.75" customHeight="1" x14ac:dyDescent="0.2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12.75" customHeight="1" x14ac:dyDescent="0.2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12.75" customHeight="1" x14ac:dyDescent="0.2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12.75" customHeight="1" x14ac:dyDescent="0.2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12.75" customHeight="1" x14ac:dyDescent="0.2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12.75" customHeight="1" x14ac:dyDescent="0.2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12.75" customHeight="1" x14ac:dyDescent="0.2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12.75" customHeight="1" x14ac:dyDescent="0.2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12.75" customHeight="1" x14ac:dyDescent="0.2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12.75" customHeight="1" x14ac:dyDescent="0.2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12.75" customHeight="1" x14ac:dyDescent="0.2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12.75" customHeight="1" x14ac:dyDescent="0.2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12.75" customHeight="1" x14ac:dyDescent="0.2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12.75" customHeight="1" x14ac:dyDescent="0.2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12.75" customHeight="1" x14ac:dyDescent="0.2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12.75" customHeight="1" x14ac:dyDescent="0.2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12.75" customHeight="1" x14ac:dyDescent="0.2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12.75" customHeight="1" x14ac:dyDescent="0.2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12.75" customHeight="1" x14ac:dyDescent="0.2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12.75" customHeight="1" x14ac:dyDescent="0.2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12.75" customHeight="1" x14ac:dyDescent="0.2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12.75" customHeight="1" x14ac:dyDescent="0.2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12.75" customHeight="1" x14ac:dyDescent="0.2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12.75" customHeight="1" x14ac:dyDescent="0.2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12.75" customHeight="1" x14ac:dyDescent="0.2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12.75" customHeight="1" x14ac:dyDescent="0.2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12.75" customHeight="1" x14ac:dyDescent="0.2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12.75" customHeight="1" x14ac:dyDescent="0.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12.75" customHeight="1" x14ac:dyDescent="0.2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12.75" customHeight="1" x14ac:dyDescent="0.2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12.75" customHeight="1" x14ac:dyDescent="0.2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12.75" customHeight="1" x14ac:dyDescent="0.2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12.75" customHeight="1" x14ac:dyDescent="0.2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12.75" customHeight="1" x14ac:dyDescent="0.2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12.75" customHeight="1" x14ac:dyDescent="0.2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12.75" customHeight="1" x14ac:dyDescent="0.2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12.75" customHeight="1" x14ac:dyDescent="0.2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12.75" customHeight="1" x14ac:dyDescent="0.2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12.75" customHeight="1" x14ac:dyDescent="0.2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12.75" customHeight="1" x14ac:dyDescent="0.2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12.75" customHeight="1" x14ac:dyDescent="0.2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12.75" customHeight="1" x14ac:dyDescent="0.2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12.75" customHeight="1" x14ac:dyDescent="0.2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12.75" customHeight="1" x14ac:dyDescent="0.2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12.75" customHeight="1" x14ac:dyDescent="0.2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12.75" customHeight="1" x14ac:dyDescent="0.2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12.75" customHeight="1" x14ac:dyDescent="0.2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12.75" customHeight="1" x14ac:dyDescent="0.2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12.75" customHeight="1" x14ac:dyDescent="0.2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12.75" customHeight="1" x14ac:dyDescent="0.2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12.75" customHeight="1" x14ac:dyDescent="0.2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12.75" customHeight="1" x14ac:dyDescent="0.2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12.75" customHeight="1" x14ac:dyDescent="0.2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12.75" customHeight="1" x14ac:dyDescent="0.2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12.75" customHeight="1" x14ac:dyDescent="0.2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12.75" customHeight="1" x14ac:dyDescent="0.2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12.75" customHeight="1" x14ac:dyDescent="0.2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12.75" customHeight="1" x14ac:dyDescent="0.2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12.75" customHeight="1" x14ac:dyDescent="0.2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12.75" customHeight="1" x14ac:dyDescent="0.2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12.75" customHeight="1" x14ac:dyDescent="0.2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12.75" customHeight="1" x14ac:dyDescent="0.2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12.75" customHeight="1" x14ac:dyDescent="0.2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12.75" customHeight="1" x14ac:dyDescent="0.2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12.75" customHeight="1" x14ac:dyDescent="0.2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12.75" customHeight="1" x14ac:dyDescent="0.2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12.75" customHeight="1" x14ac:dyDescent="0.2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12.75" customHeight="1" x14ac:dyDescent="0.2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12.75" customHeight="1" x14ac:dyDescent="0.2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12.75" customHeight="1" x14ac:dyDescent="0.2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12.75" customHeight="1" x14ac:dyDescent="0.2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12.75" customHeight="1" x14ac:dyDescent="0.2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12.75" customHeight="1" x14ac:dyDescent="0.2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12.75" customHeight="1" x14ac:dyDescent="0.2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12.75" customHeight="1" x14ac:dyDescent="0.2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12.75" customHeight="1" x14ac:dyDescent="0.2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12.75" customHeight="1" x14ac:dyDescent="0.2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12.75" customHeight="1" x14ac:dyDescent="0.2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12.75" customHeight="1" x14ac:dyDescent="0.2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12.75" customHeight="1" x14ac:dyDescent="0.2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12.75" customHeight="1" x14ac:dyDescent="0.2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12.75" customHeight="1" x14ac:dyDescent="0.2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12.75" customHeight="1" x14ac:dyDescent="0.2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12.75" customHeight="1" x14ac:dyDescent="0.2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12.75" customHeight="1" x14ac:dyDescent="0.2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12.75" customHeight="1" x14ac:dyDescent="0.2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12.75" customHeight="1" x14ac:dyDescent="0.2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12.75" customHeight="1" x14ac:dyDescent="0.2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12.75" customHeight="1" x14ac:dyDescent="0.2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12.75" customHeight="1" x14ac:dyDescent="0.2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12.75" customHeight="1" x14ac:dyDescent="0.2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12.75" customHeight="1" x14ac:dyDescent="0.2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12.75" customHeight="1" x14ac:dyDescent="0.2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12.75" customHeight="1" x14ac:dyDescent="0.2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12.75" customHeight="1" x14ac:dyDescent="0.2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12.75" customHeight="1" x14ac:dyDescent="0.2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12.75" customHeight="1" x14ac:dyDescent="0.2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12.75" customHeight="1" x14ac:dyDescent="0.2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12.75" customHeight="1" x14ac:dyDescent="0.2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12.75" customHeight="1" x14ac:dyDescent="0.2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12.75" customHeight="1" x14ac:dyDescent="0.2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12.75" customHeight="1" x14ac:dyDescent="0.2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12.75" customHeight="1" x14ac:dyDescent="0.2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12.75" customHeight="1" x14ac:dyDescent="0.2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12.75" customHeight="1" x14ac:dyDescent="0.2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12.75" customHeight="1" x14ac:dyDescent="0.2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12.7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12.7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12.75" customHeight="1" x14ac:dyDescent="0.2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12.75" customHeight="1" x14ac:dyDescent="0.2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12.75" customHeight="1" x14ac:dyDescent="0.2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12.75" customHeight="1" x14ac:dyDescent="0.2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12.75" customHeight="1" x14ac:dyDescent="0.2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12.75" customHeight="1" x14ac:dyDescent="0.2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12.75" customHeight="1" x14ac:dyDescent="0.2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12.75" customHeight="1" x14ac:dyDescent="0.2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12.75" customHeight="1" x14ac:dyDescent="0.2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12.75" customHeight="1" x14ac:dyDescent="0.2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12.75" customHeight="1" x14ac:dyDescent="0.2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12.75" customHeight="1" x14ac:dyDescent="0.2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12.75" customHeight="1" x14ac:dyDescent="0.2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12.75" customHeight="1" x14ac:dyDescent="0.2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12.75" customHeight="1" x14ac:dyDescent="0.2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12.75" customHeight="1" x14ac:dyDescent="0.2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12.75" customHeight="1" x14ac:dyDescent="0.2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12.75" customHeight="1" x14ac:dyDescent="0.2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12.75" customHeight="1" x14ac:dyDescent="0.2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12.75" customHeight="1" x14ac:dyDescent="0.2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12.75" customHeight="1" x14ac:dyDescent="0.2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12.75" customHeight="1" x14ac:dyDescent="0.2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12.75" customHeight="1" x14ac:dyDescent="0.2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12.7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12.75" customHeight="1" x14ac:dyDescent="0.2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12.75" customHeight="1" x14ac:dyDescent="0.2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12.75" customHeight="1" x14ac:dyDescent="0.2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12.75" customHeight="1" x14ac:dyDescent="0.2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12.75" customHeight="1" x14ac:dyDescent="0.2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12.75" customHeight="1" x14ac:dyDescent="0.2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12.75" customHeight="1" x14ac:dyDescent="0.2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12.75" customHeight="1" x14ac:dyDescent="0.2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12.75" customHeight="1" x14ac:dyDescent="0.2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12.75" customHeight="1" x14ac:dyDescent="0.2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12.75" customHeight="1" x14ac:dyDescent="0.2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12.75" customHeight="1" x14ac:dyDescent="0.2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12.75" customHeight="1" x14ac:dyDescent="0.2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12.75" customHeight="1" x14ac:dyDescent="0.2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12.75" customHeight="1" x14ac:dyDescent="0.2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12.75" customHeight="1" x14ac:dyDescent="0.2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12.75" customHeight="1" x14ac:dyDescent="0.2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12.75" customHeight="1" x14ac:dyDescent="0.2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12.75" customHeight="1" x14ac:dyDescent="0.2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12.75" customHeight="1" x14ac:dyDescent="0.2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12.75" customHeight="1" x14ac:dyDescent="0.2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12.75" customHeight="1" x14ac:dyDescent="0.2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12.75" customHeight="1" x14ac:dyDescent="0.2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12.75" customHeight="1" x14ac:dyDescent="0.2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12.75" customHeight="1" x14ac:dyDescent="0.2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12.75" customHeight="1" x14ac:dyDescent="0.2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12.75" customHeight="1" x14ac:dyDescent="0.2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12.75" customHeight="1" x14ac:dyDescent="0.2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12.75" customHeight="1" x14ac:dyDescent="0.2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12.75" customHeight="1" x14ac:dyDescent="0.2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12.75" customHeight="1" x14ac:dyDescent="0.2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12.7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12.75" customHeight="1" x14ac:dyDescent="0.2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12.75" customHeight="1" x14ac:dyDescent="0.2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12.75" customHeight="1" x14ac:dyDescent="0.2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12.75" customHeight="1" x14ac:dyDescent="0.2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12.75" customHeight="1" x14ac:dyDescent="0.2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12.75" customHeight="1" x14ac:dyDescent="0.2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12.75" customHeight="1" x14ac:dyDescent="0.2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12.75" customHeight="1" x14ac:dyDescent="0.2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12.75" customHeight="1" x14ac:dyDescent="0.2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12.75" customHeight="1" x14ac:dyDescent="0.2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12.75" customHeight="1" x14ac:dyDescent="0.2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12.75" customHeight="1" x14ac:dyDescent="0.2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12.75" customHeight="1" x14ac:dyDescent="0.2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12.75" customHeight="1" x14ac:dyDescent="0.2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12.75" customHeight="1" x14ac:dyDescent="0.2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12.7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12.75" customHeight="1" x14ac:dyDescent="0.2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12.75" customHeight="1" x14ac:dyDescent="0.2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12.75" customHeight="1" x14ac:dyDescent="0.2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12.75" customHeight="1" x14ac:dyDescent="0.2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12.75" customHeight="1" x14ac:dyDescent="0.2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12.75" customHeight="1" x14ac:dyDescent="0.2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12.75" customHeight="1" x14ac:dyDescent="0.2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12.75" customHeight="1" x14ac:dyDescent="0.2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12.75" customHeight="1" x14ac:dyDescent="0.2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12.75" customHeight="1" x14ac:dyDescent="0.2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12.75" customHeight="1" x14ac:dyDescent="0.2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12.75" customHeight="1" x14ac:dyDescent="0.2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12.75" customHeight="1" x14ac:dyDescent="0.2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12.75" customHeight="1" x14ac:dyDescent="0.2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12.75" customHeight="1" x14ac:dyDescent="0.2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12.7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12.75" customHeight="1" x14ac:dyDescent="0.2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12.75" customHeight="1" x14ac:dyDescent="0.2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12.75" customHeight="1" x14ac:dyDescent="0.2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12.75" customHeight="1" x14ac:dyDescent="0.2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12.75" customHeight="1" x14ac:dyDescent="0.2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12.75" customHeight="1" x14ac:dyDescent="0.2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12.75" customHeight="1" x14ac:dyDescent="0.2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12.75" customHeight="1" x14ac:dyDescent="0.2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12.75" customHeight="1" x14ac:dyDescent="0.2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12.75" customHeight="1" x14ac:dyDescent="0.2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12.75" customHeight="1" x14ac:dyDescent="0.2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12.75" customHeight="1" x14ac:dyDescent="0.2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12.75" customHeight="1" x14ac:dyDescent="0.2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12.75" customHeight="1" x14ac:dyDescent="0.2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12.75" customHeight="1" x14ac:dyDescent="0.2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12.75" customHeight="1" x14ac:dyDescent="0.2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12.75" customHeight="1" x14ac:dyDescent="0.2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12.75" customHeight="1" x14ac:dyDescent="0.2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12.75" customHeight="1" x14ac:dyDescent="0.2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12.75" customHeight="1" x14ac:dyDescent="0.2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12.75" customHeight="1" x14ac:dyDescent="0.2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12.75" customHeight="1" x14ac:dyDescent="0.2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12.75" customHeight="1" x14ac:dyDescent="0.2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12.75" customHeight="1" x14ac:dyDescent="0.2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12.75" customHeight="1" x14ac:dyDescent="0.2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12.75" customHeight="1" x14ac:dyDescent="0.2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12.75" customHeight="1" x14ac:dyDescent="0.2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12.75" customHeight="1" x14ac:dyDescent="0.2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12.75" customHeight="1" x14ac:dyDescent="0.2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12.75" customHeight="1" x14ac:dyDescent="0.2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12.7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12.7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12.7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12.7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12.75" customHeight="1" x14ac:dyDescent="0.2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12.75" customHeight="1" x14ac:dyDescent="0.2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12.75" customHeight="1" x14ac:dyDescent="0.2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12.75" customHeight="1" x14ac:dyDescent="0.2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12.75" customHeight="1" x14ac:dyDescent="0.2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12.75" customHeight="1" x14ac:dyDescent="0.2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12.7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12.7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12.75" customHeight="1" x14ac:dyDescent="0.2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12.75" customHeight="1" x14ac:dyDescent="0.2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12.75" customHeight="1" x14ac:dyDescent="0.2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2.75" customHeight="1" x14ac:dyDescent="0.2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12.75" customHeight="1" x14ac:dyDescent="0.2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12.75" customHeight="1" x14ac:dyDescent="0.2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12.75" customHeight="1" x14ac:dyDescent="0.2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12.75" customHeight="1" x14ac:dyDescent="0.2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12.75" customHeight="1" x14ac:dyDescent="0.2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12.75" customHeight="1" x14ac:dyDescent="0.2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12.75" customHeight="1" x14ac:dyDescent="0.2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12.75" customHeight="1" x14ac:dyDescent="0.2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12.75" customHeight="1" x14ac:dyDescent="0.2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12.75" customHeight="1" x14ac:dyDescent="0.2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12.75" customHeight="1" x14ac:dyDescent="0.2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12.75" customHeight="1" x14ac:dyDescent="0.2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12.75" customHeight="1" x14ac:dyDescent="0.2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12.75" customHeight="1" x14ac:dyDescent="0.2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12.75" customHeight="1" x14ac:dyDescent="0.2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12.75" customHeight="1" x14ac:dyDescent="0.2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12.75" customHeight="1" x14ac:dyDescent="0.2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12.75" customHeight="1" x14ac:dyDescent="0.2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12.75" customHeight="1" x14ac:dyDescent="0.2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12.75" customHeight="1" x14ac:dyDescent="0.2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2.75" customHeight="1" x14ac:dyDescent="0.2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12.75" customHeight="1" x14ac:dyDescent="0.2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12.75" customHeight="1" x14ac:dyDescent="0.2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12.75" customHeight="1" x14ac:dyDescent="0.2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12.75" customHeight="1" x14ac:dyDescent="0.2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12.75" customHeight="1" x14ac:dyDescent="0.2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12.75" customHeight="1" x14ac:dyDescent="0.2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12.75" customHeight="1" x14ac:dyDescent="0.2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12.75" customHeight="1" x14ac:dyDescent="0.2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12.75" customHeight="1" x14ac:dyDescent="0.2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12.75" customHeight="1" x14ac:dyDescent="0.2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12.75" customHeight="1" x14ac:dyDescent="0.2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12.75" customHeight="1" x14ac:dyDescent="0.2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12.75" customHeight="1" x14ac:dyDescent="0.2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12.75" customHeight="1" x14ac:dyDescent="0.2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12.75" customHeight="1" x14ac:dyDescent="0.2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12.75" customHeight="1" x14ac:dyDescent="0.2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12.75" customHeight="1" x14ac:dyDescent="0.2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12.75" customHeight="1" x14ac:dyDescent="0.2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12.75" customHeight="1" x14ac:dyDescent="0.2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12.75" customHeight="1" x14ac:dyDescent="0.2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2.75" customHeight="1" x14ac:dyDescent="0.2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12.75" customHeight="1" x14ac:dyDescent="0.2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12.75" customHeight="1" x14ac:dyDescent="0.2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12.75" customHeight="1" x14ac:dyDescent="0.2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12.75" customHeight="1" x14ac:dyDescent="0.2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12.75" customHeight="1" x14ac:dyDescent="0.2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12.75" customHeight="1" x14ac:dyDescent="0.2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12.75" customHeight="1" x14ac:dyDescent="0.2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12.75" customHeight="1" x14ac:dyDescent="0.2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12.75" customHeight="1" x14ac:dyDescent="0.2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12.75" customHeight="1" x14ac:dyDescent="0.2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12.75" customHeight="1" x14ac:dyDescent="0.2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12.75" customHeight="1" x14ac:dyDescent="0.2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12.75" customHeight="1" x14ac:dyDescent="0.2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12.75" customHeight="1" x14ac:dyDescent="0.2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12.75" customHeight="1" x14ac:dyDescent="0.2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12.75" customHeight="1" x14ac:dyDescent="0.2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12.75" customHeight="1" x14ac:dyDescent="0.2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12.75" customHeight="1" x14ac:dyDescent="0.2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12.75" customHeight="1" x14ac:dyDescent="0.2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12.75" customHeight="1" x14ac:dyDescent="0.2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2.75" customHeight="1" x14ac:dyDescent="0.2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12.75" customHeight="1" x14ac:dyDescent="0.2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12.75" customHeight="1" x14ac:dyDescent="0.2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12.75" customHeight="1" x14ac:dyDescent="0.2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12.75" customHeight="1" x14ac:dyDescent="0.2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12.75" customHeight="1" x14ac:dyDescent="0.2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12.75" customHeight="1" x14ac:dyDescent="0.2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12.75" customHeight="1" x14ac:dyDescent="0.2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12.75" customHeight="1" x14ac:dyDescent="0.2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12.75" customHeight="1" x14ac:dyDescent="0.2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12.75" customHeight="1" x14ac:dyDescent="0.2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12.75" customHeight="1" x14ac:dyDescent="0.2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12.75" customHeight="1" x14ac:dyDescent="0.2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12.75" customHeight="1" x14ac:dyDescent="0.2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12.75" customHeight="1" x14ac:dyDescent="0.2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12.75" customHeight="1" x14ac:dyDescent="0.2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12.75" customHeight="1" x14ac:dyDescent="0.2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12.75" customHeight="1" x14ac:dyDescent="0.2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12.75" customHeight="1" x14ac:dyDescent="0.2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12.75" customHeight="1" x14ac:dyDescent="0.2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12.75" customHeight="1" x14ac:dyDescent="0.2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2.75" customHeight="1" x14ac:dyDescent="0.2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12.75" customHeight="1" x14ac:dyDescent="0.2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12.75" customHeight="1" x14ac:dyDescent="0.2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12.75" customHeight="1" x14ac:dyDescent="0.2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12.75" customHeight="1" x14ac:dyDescent="0.2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12.75" customHeight="1" x14ac:dyDescent="0.2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12.75" customHeight="1" x14ac:dyDescent="0.2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12.75" customHeight="1" x14ac:dyDescent="0.2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12.75" customHeight="1" x14ac:dyDescent="0.2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12.75" customHeight="1" x14ac:dyDescent="0.2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12.75" customHeight="1" x14ac:dyDescent="0.2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12.75" customHeight="1" x14ac:dyDescent="0.2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12.75" customHeight="1" x14ac:dyDescent="0.2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12.75" customHeight="1" x14ac:dyDescent="0.2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12.75" customHeight="1" x14ac:dyDescent="0.2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12.75" customHeight="1" x14ac:dyDescent="0.2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12.75" customHeight="1" x14ac:dyDescent="0.2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12.75" customHeight="1" x14ac:dyDescent="0.2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12.75" customHeight="1" x14ac:dyDescent="0.2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12.75" customHeight="1" x14ac:dyDescent="0.2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12.75" customHeight="1" x14ac:dyDescent="0.2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2.75" customHeight="1" x14ac:dyDescent="0.2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12.75" customHeight="1" x14ac:dyDescent="0.2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12.75" customHeight="1" x14ac:dyDescent="0.2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12.75" customHeight="1" x14ac:dyDescent="0.2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12.75" customHeight="1" x14ac:dyDescent="0.2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12.75" customHeight="1" x14ac:dyDescent="0.2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12.75" customHeight="1" x14ac:dyDescent="0.2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12.75" customHeight="1" x14ac:dyDescent="0.2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12.75" customHeight="1" x14ac:dyDescent="0.2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12.75" customHeight="1" x14ac:dyDescent="0.2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12.75" customHeight="1" x14ac:dyDescent="0.2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12.75" customHeight="1" x14ac:dyDescent="0.2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12.75" customHeight="1" x14ac:dyDescent="0.2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12.75" customHeight="1" x14ac:dyDescent="0.2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12.75" customHeight="1" x14ac:dyDescent="0.2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12.75" customHeight="1" x14ac:dyDescent="0.2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12.75" customHeight="1" x14ac:dyDescent="0.2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12.75" customHeight="1" x14ac:dyDescent="0.2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12.75" customHeight="1" x14ac:dyDescent="0.2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12.75" customHeight="1" x14ac:dyDescent="0.2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12.75" customHeight="1" x14ac:dyDescent="0.2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2.75" customHeight="1" x14ac:dyDescent="0.2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12.75" customHeight="1" x14ac:dyDescent="0.2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12.75" customHeight="1" x14ac:dyDescent="0.2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12.75" customHeight="1" x14ac:dyDescent="0.2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12.75" customHeight="1" x14ac:dyDescent="0.2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12.75" customHeight="1" x14ac:dyDescent="0.2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12.75" customHeight="1" x14ac:dyDescent="0.2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12.75" customHeight="1" x14ac:dyDescent="0.2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12.75" customHeight="1" x14ac:dyDescent="0.2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12.75" customHeight="1" x14ac:dyDescent="0.2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12.75" customHeight="1" x14ac:dyDescent="0.2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12.75" customHeight="1" x14ac:dyDescent="0.2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12.75" customHeight="1" x14ac:dyDescent="0.2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12.75" customHeight="1" x14ac:dyDescent="0.2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12.75" customHeight="1" x14ac:dyDescent="0.2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12.75" customHeight="1" x14ac:dyDescent="0.2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12.75" customHeight="1" x14ac:dyDescent="0.2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12.75" customHeight="1" x14ac:dyDescent="0.2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12.75" customHeight="1" x14ac:dyDescent="0.2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12.75" customHeight="1" x14ac:dyDescent="0.2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12.75" customHeight="1" x14ac:dyDescent="0.2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2.75" customHeight="1" x14ac:dyDescent="0.2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12.75" customHeight="1" x14ac:dyDescent="0.2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12.75" customHeight="1" x14ac:dyDescent="0.2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12.75" customHeight="1" x14ac:dyDescent="0.2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12.75" customHeight="1" x14ac:dyDescent="0.2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12.75" customHeight="1" x14ac:dyDescent="0.2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12.75" customHeight="1" x14ac:dyDescent="0.2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12.75" customHeight="1" x14ac:dyDescent="0.2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12.75" customHeight="1" x14ac:dyDescent="0.2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12.75" customHeight="1" x14ac:dyDescent="0.2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12.75" customHeight="1" x14ac:dyDescent="0.2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12.75" customHeight="1" x14ac:dyDescent="0.2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12.75" customHeight="1" x14ac:dyDescent="0.2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12.75" customHeight="1" x14ac:dyDescent="0.2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12.75" customHeight="1" x14ac:dyDescent="0.2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12.75" customHeight="1" x14ac:dyDescent="0.2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12.75" customHeight="1" x14ac:dyDescent="0.2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12.75" customHeight="1" x14ac:dyDescent="0.2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12.75" customHeight="1" x14ac:dyDescent="0.2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12.75" customHeight="1" x14ac:dyDescent="0.2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12.75" customHeight="1" x14ac:dyDescent="0.2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2.75" customHeight="1" x14ac:dyDescent="0.2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12.75" customHeight="1" x14ac:dyDescent="0.2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12.75" customHeight="1" x14ac:dyDescent="0.2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12.75" customHeight="1" x14ac:dyDescent="0.2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12.75" customHeight="1" x14ac:dyDescent="0.2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12.75" customHeight="1" x14ac:dyDescent="0.2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12.75" customHeight="1" x14ac:dyDescent="0.2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12.75" customHeight="1" x14ac:dyDescent="0.2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12.75" customHeight="1" x14ac:dyDescent="0.2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12.75" customHeight="1" x14ac:dyDescent="0.2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12.75" customHeight="1" x14ac:dyDescent="0.2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12.75" customHeight="1" x14ac:dyDescent="0.2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12.75" customHeight="1" x14ac:dyDescent="0.2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12.75" customHeight="1" x14ac:dyDescent="0.2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12.75" customHeight="1" x14ac:dyDescent="0.2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12.75" customHeight="1" x14ac:dyDescent="0.2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12.75" customHeight="1" x14ac:dyDescent="0.2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12.75" customHeight="1" x14ac:dyDescent="0.2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12.75" customHeight="1" x14ac:dyDescent="0.2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12.75" customHeight="1" x14ac:dyDescent="0.2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12.75" customHeight="1" x14ac:dyDescent="0.2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2.75" customHeight="1" x14ac:dyDescent="0.2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12.75" customHeight="1" x14ac:dyDescent="0.2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12.75" customHeight="1" x14ac:dyDescent="0.2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12.75" customHeight="1" x14ac:dyDescent="0.2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12.75" customHeight="1" x14ac:dyDescent="0.2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12.75" customHeight="1" x14ac:dyDescent="0.2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12.75" customHeight="1" x14ac:dyDescent="0.2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12.75" customHeight="1" x14ac:dyDescent="0.2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12.75" customHeight="1" x14ac:dyDescent="0.2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12.75" customHeight="1" x14ac:dyDescent="0.2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12.75" customHeight="1" x14ac:dyDescent="0.2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12.75" customHeight="1" x14ac:dyDescent="0.2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12.75" customHeight="1" x14ac:dyDescent="0.2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12.75" customHeight="1" x14ac:dyDescent="0.2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12.75" customHeight="1" x14ac:dyDescent="0.2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12.75" customHeight="1" x14ac:dyDescent="0.2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12.75" customHeight="1" x14ac:dyDescent="0.2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12.75" customHeight="1" x14ac:dyDescent="0.2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12.75" customHeight="1" x14ac:dyDescent="0.2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12.75" customHeight="1" x14ac:dyDescent="0.2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12.75" customHeight="1" x14ac:dyDescent="0.2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2.75" customHeight="1" x14ac:dyDescent="0.2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12.75" customHeight="1" x14ac:dyDescent="0.2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12.75" customHeight="1" x14ac:dyDescent="0.2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12.75" customHeight="1" x14ac:dyDescent="0.2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12.75" customHeight="1" x14ac:dyDescent="0.2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12.75" customHeight="1" x14ac:dyDescent="0.2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12.75" customHeight="1" x14ac:dyDescent="0.2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12.75" customHeight="1" x14ac:dyDescent="0.2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12.75" customHeight="1" x14ac:dyDescent="0.2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12.75" customHeight="1" x14ac:dyDescent="0.2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12.75" customHeight="1" x14ac:dyDescent="0.2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12.75" customHeight="1" x14ac:dyDescent="0.2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12.75" customHeight="1" x14ac:dyDescent="0.2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12.75" customHeight="1" x14ac:dyDescent="0.2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12.75" customHeight="1" x14ac:dyDescent="0.2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12.75" customHeight="1" x14ac:dyDescent="0.2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12.75" customHeight="1" x14ac:dyDescent="0.2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12.75" customHeight="1" x14ac:dyDescent="0.2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12.75" customHeight="1" x14ac:dyDescent="0.2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12.75" customHeight="1" x14ac:dyDescent="0.2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12.75" customHeight="1" x14ac:dyDescent="0.2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2.75" customHeight="1" x14ac:dyDescent="0.2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12.75" customHeight="1" x14ac:dyDescent="0.2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12.75" customHeight="1" x14ac:dyDescent="0.2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12.75" customHeight="1" x14ac:dyDescent="0.2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12.75" customHeight="1" x14ac:dyDescent="0.2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12.75" customHeight="1" x14ac:dyDescent="0.2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12.75" customHeight="1" x14ac:dyDescent="0.2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12.75" customHeight="1" x14ac:dyDescent="0.2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12.75" customHeight="1" x14ac:dyDescent="0.2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12.75" customHeight="1" x14ac:dyDescent="0.2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12.75" customHeight="1" x14ac:dyDescent="0.2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12.75" customHeight="1" x14ac:dyDescent="0.2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12.75" customHeight="1" x14ac:dyDescent="0.2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12.75" customHeight="1" x14ac:dyDescent="0.2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12.75" customHeight="1" x14ac:dyDescent="0.2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12.75" customHeight="1" x14ac:dyDescent="0.2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12.75" customHeight="1" x14ac:dyDescent="0.2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12.75" customHeight="1" x14ac:dyDescent="0.2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12.75" customHeight="1" x14ac:dyDescent="0.2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12.75" customHeight="1" x14ac:dyDescent="0.2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12.75" customHeight="1" x14ac:dyDescent="0.2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2.75" customHeight="1" x14ac:dyDescent="0.2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12.75" customHeight="1" x14ac:dyDescent="0.2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12.75" customHeight="1" x14ac:dyDescent="0.2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12.75" customHeight="1" x14ac:dyDescent="0.2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12.75" customHeight="1" x14ac:dyDescent="0.2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12.75" customHeight="1" x14ac:dyDescent="0.2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12.75" customHeight="1" x14ac:dyDescent="0.2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12.75" customHeight="1" x14ac:dyDescent="0.2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12.75" customHeight="1" x14ac:dyDescent="0.2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12.75" customHeight="1" x14ac:dyDescent="0.2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12.75" customHeight="1" x14ac:dyDescent="0.2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12.75" customHeight="1" x14ac:dyDescent="0.2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12.75" customHeight="1" x14ac:dyDescent="0.2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12.75" customHeight="1" x14ac:dyDescent="0.2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12.75" customHeight="1" x14ac:dyDescent="0.2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12.75" customHeight="1" x14ac:dyDescent="0.2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12.75" customHeight="1" x14ac:dyDescent="0.2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12.75" customHeight="1" x14ac:dyDescent="0.2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12.75" customHeight="1" x14ac:dyDescent="0.2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12.75" customHeight="1" x14ac:dyDescent="0.2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12.75" customHeight="1" x14ac:dyDescent="0.2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2.75" customHeight="1" x14ac:dyDescent="0.2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12.75" customHeight="1" x14ac:dyDescent="0.2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12.75" customHeight="1" x14ac:dyDescent="0.2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12.75" customHeight="1" x14ac:dyDescent="0.2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12.75" customHeight="1" x14ac:dyDescent="0.2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12.75" customHeight="1" x14ac:dyDescent="0.2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12.75" customHeight="1" x14ac:dyDescent="0.2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12.75" customHeight="1" x14ac:dyDescent="0.2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12.75" customHeight="1" x14ac:dyDescent="0.2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12.75" customHeight="1" x14ac:dyDescent="0.2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12.75" customHeight="1" x14ac:dyDescent="0.2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12.75" customHeight="1" x14ac:dyDescent="0.2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12.75" customHeight="1" x14ac:dyDescent="0.2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12.75" customHeight="1" x14ac:dyDescent="0.2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12.75" customHeight="1" x14ac:dyDescent="0.2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12.75" customHeight="1" x14ac:dyDescent="0.2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12.75" customHeight="1" x14ac:dyDescent="0.2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12.75" customHeight="1" x14ac:dyDescent="0.2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12.75" customHeight="1" x14ac:dyDescent="0.2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12.75" customHeight="1" x14ac:dyDescent="0.2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12.75" customHeight="1" x14ac:dyDescent="0.2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2.75" customHeight="1" x14ac:dyDescent="0.2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12.75" customHeight="1" x14ac:dyDescent="0.2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12.75" customHeight="1" x14ac:dyDescent="0.2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12.75" customHeight="1" x14ac:dyDescent="0.2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12.75" customHeight="1" x14ac:dyDescent="0.2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12.75" customHeight="1" x14ac:dyDescent="0.2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12.75" customHeight="1" x14ac:dyDescent="0.2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12.75" customHeight="1" x14ac:dyDescent="0.2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12.75" customHeight="1" x14ac:dyDescent="0.2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12.75" customHeight="1" x14ac:dyDescent="0.2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12.75" customHeight="1" x14ac:dyDescent="0.2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12.75" customHeight="1" x14ac:dyDescent="0.2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12.75" customHeight="1" x14ac:dyDescent="0.2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12.75" customHeight="1" x14ac:dyDescent="0.2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12.75" customHeight="1" x14ac:dyDescent="0.2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12.75" customHeight="1" x14ac:dyDescent="0.2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12.75" customHeight="1" x14ac:dyDescent="0.2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12.75" customHeight="1" x14ac:dyDescent="0.2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12.75" customHeight="1" x14ac:dyDescent="0.2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12.75" customHeight="1" x14ac:dyDescent="0.2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12.75" customHeight="1" x14ac:dyDescent="0.2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2.75" customHeight="1" x14ac:dyDescent="0.2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12.75" customHeight="1" x14ac:dyDescent="0.2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12.75" customHeight="1" x14ac:dyDescent="0.2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12.75" customHeight="1" x14ac:dyDescent="0.2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12.75" customHeight="1" x14ac:dyDescent="0.2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12.75" customHeight="1" x14ac:dyDescent="0.2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12.75" customHeight="1" x14ac:dyDescent="0.2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12.75" customHeight="1" x14ac:dyDescent="0.2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12.75" customHeight="1" x14ac:dyDescent="0.2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12.75" customHeight="1" x14ac:dyDescent="0.2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12.75" customHeight="1" x14ac:dyDescent="0.2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12.75" customHeight="1" x14ac:dyDescent="0.2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12.75" customHeight="1" x14ac:dyDescent="0.2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12.75" customHeight="1" x14ac:dyDescent="0.2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12.75" customHeight="1" x14ac:dyDescent="0.2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12.75" customHeight="1" x14ac:dyDescent="0.2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12.75" customHeight="1" x14ac:dyDescent="0.2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12.75" customHeight="1" x14ac:dyDescent="0.2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12.75" customHeight="1" x14ac:dyDescent="0.2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12.75" customHeight="1" x14ac:dyDescent="0.2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12.75" customHeight="1" x14ac:dyDescent="0.2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2.75" customHeight="1" x14ac:dyDescent="0.2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12.75" customHeight="1" x14ac:dyDescent="0.2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12.75" customHeight="1" x14ac:dyDescent="0.2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12.75" customHeight="1" x14ac:dyDescent="0.2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12.75" customHeight="1" x14ac:dyDescent="0.2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12.75" customHeight="1" x14ac:dyDescent="0.2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12.75" customHeight="1" x14ac:dyDescent="0.2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12.75" customHeight="1" x14ac:dyDescent="0.2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12.75" customHeight="1" x14ac:dyDescent="0.2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12.75" customHeight="1" x14ac:dyDescent="0.2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12.75" customHeight="1" x14ac:dyDescent="0.2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12.75" customHeight="1" x14ac:dyDescent="0.2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12.75" customHeight="1" x14ac:dyDescent="0.2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12.75" customHeight="1" x14ac:dyDescent="0.2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12.75" customHeight="1" x14ac:dyDescent="0.2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12.75" customHeight="1" x14ac:dyDescent="0.2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12.75" customHeight="1" x14ac:dyDescent="0.2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12.75" customHeight="1" x14ac:dyDescent="0.2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12.75" customHeight="1" x14ac:dyDescent="0.2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12.75" customHeight="1" x14ac:dyDescent="0.2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12.75" customHeight="1" x14ac:dyDescent="0.2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12.75" customHeight="1" x14ac:dyDescent="0.2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12.75" customHeight="1" x14ac:dyDescent="0.2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12.75" customHeight="1" x14ac:dyDescent="0.2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12.75" customHeight="1" x14ac:dyDescent="0.2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12.75" customHeight="1" x14ac:dyDescent="0.2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12.75" customHeight="1" x14ac:dyDescent="0.2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12.75" customHeight="1" x14ac:dyDescent="0.2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12.75" customHeight="1" x14ac:dyDescent="0.2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12.75" customHeight="1" x14ac:dyDescent="0.2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12.75" customHeight="1" x14ac:dyDescent="0.2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12.75" customHeight="1" x14ac:dyDescent="0.2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12.75" customHeight="1" x14ac:dyDescent="0.2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12.75" customHeight="1" x14ac:dyDescent="0.2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12.75" customHeight="1" x14ac:dyDescent="0.2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12.75" customHeight="1" x14ac:dyDescent="0.2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12.75" customHeight="1" x14ac:dyDescent="0.2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12.75" customHeight="1" x14ac:dyDescent="0.2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12.75" customHeight="1" x14ac:dyDescent="0.2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12.75" customHeight="1" x14ac:dyDescent="0.2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12.75" customHeight="1" x14ac:dyDescent="0.2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12.75" customHeight="1" x14ac:dyDescent="0.2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12.75" customHeight="1" x14ac:dyDescent="0.2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12.75" customHeight="1" x14ac:dyDescent="0.2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12.75" customHeight="1" x14ac:dyDescent="0.2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12.75" customHeight="1" x14ac:dyDescent="0.2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12.75" customHeight="1" x14ac:dyDescent="0.2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12.75" customHeight="1" x14ac:dyDescent="0.2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12.75" customHeight="1" x14ac:dyDescent="0.2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12.75" customHeight="1" x14ac:dyDescent="0.2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12.75" customHeight="1" x14ac:dyDescent="0.2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12.75" customHeight="1" x14ac:dyDescent="0.2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12.75" customHeight="1" x14ac:dyDescent="0.2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12.75" customHeight="1" x14ac:dyDescent="0.2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12.75" customHeight="1" x14ac:dyDescent="0.2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12.75" customHeight="1" x14ac:dyDescent="0.2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12.75" customHeight="1" x14ac:dyDescent="0.2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12.75" customHeight="1" x14ac:dyDescent="0.2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12.75" customHeight="1" x14ac:dyDescent="0.2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12.75" customHeight="1" x14ac:dyDescent="0.2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12.75" customHeight="1" x14ac:dyDescent="0.2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12.75" customHeight="1" x14ac:dyDescent="0.2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12.75" customHeight="1" x14ac:dyDescent="0.2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12.75" customHeight="1" x14ac:dyDescent="0.2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12.75" customHeight="1" x14ac:dyDescent="0.2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12.75" customHeight="1" x14ac:dyDescent="0.2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12.75" customHeight="1" x14ac:dyDescent="0.2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12.75" customHeight="1" x14ac:dyDescent="0.2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12.75" customHeight="1" x14ac:dyDescent="0.2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12.75" customHeight="1" x14ac:dyDescent="0.2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12.75" customHeight="1" x14ac:dyDescent="0.2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12.75" customHeight="1" x14ac:dyDescent="0.2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12.75" customHeight="1" x14ac:dyDescent="0.2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12.75" customHeight="1" x14ac:dyDescent="0.2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12.75" customHeight="1" x14ac:dyDescent="0.2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12.75" customHeight="1" x14ac:dyDescent="0.2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12.75" customHeight="1" x14ac:dyDescent="0.2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12.75" customHeight="1" x14ac:dyDescent="0.2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12.75" customHeight="1" x14ac:dyDescent="0.2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12.75" customHeight="1" x14ac:dyDescent="0.2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12.75" customHeight="1" x14ac:dyDescent="0.2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12.75" customHeight="1" x14ac:dyDescent="0.2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12.75" customHeight="1" x14ac:dyDescent="0.2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12.75" customHeight="1" x14ac:dyDescent="0.2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12.75" customHeight="1" x14ac:dyDescent="0.2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12.75" customHeight="1" x14ac:dyDescent="0.2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12.75" customHeight="1" x14ac:dyDescent="0.2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12.75" customHeight="1" x14ac:dyDescent="0.2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12.75" customHeight="1" x14ac:dyDescent="0.2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12.75" customHeight="1" x14ac:dyDescent="0.2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12.75" customHeight="1" x14ac:dyDescent="0.2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12.75" customHeight="1" x14ac:dyDescent="0.2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12.75" customHeight="1" x14ac:dyDescent="0.2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12.75" customHeight="1" x14ac:dyDescent="0.2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12.75" customHeight="1" x14ac:dyDescent="0.2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12.75" customHeight="1" x14ac:dyDescent="0.2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12.75" customHeight="1" x14ac:dyDescent="0.2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12.75" customHeight="1" x14ac:dyDescent="0.2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12.75" customHeight="1" x14ac:dyDescent="0.2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12.75" customHeight="1" x14ac:dyDescent="0.2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12.75" customHeight="1" x14ac:dyDescent="0.2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12.75" customHeight="1" x14ac:dyDescent="0.2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12.75" customHeight="1" x14ac:dyDescent="0.2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12.75" customHeight="1" x14ac:dyDescent="0.2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12.75" customHeight="1" x14ac:dyDescent="0.2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12.75" customHeight="1" x14ac:dyDescent="0.2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12.75" customHeight="1" x14ac:dyDescent="0.2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12.75" customHeight="1" x14ac:dyDescent="0.2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12.75" customHeight="1" x14ac:dyDescent="0.2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12.75" customHeight="1" x14ac:dyDescent="0.2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12.75" customHeight="1" x14ac:dyDescent="0.2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12.75" customHeight="1" x14ac:dyDescent="0.2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12.75" customHeight="1" x14ac:dyDescent="0.2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12.75" customHeight="1" x14ac:dyDescent="0.2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12.75" customHeight="1" x14ac:dyDescent="0.2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12.75" customHeight="1" x14ac:dyDescent="0.2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12.75" customHeight="1" x14ac:dyDescent="0.2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12.75" customHeight="1" x14ac:dyDescent="0.2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12.75" customHeight="1" x14ac:dyDescent="0.2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12.75" customHeight="1" x14ac:dyDescent="0.2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12.75" customHeight="1" x14ac:dyDescent="0.2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12.75" customHeight="1" x14ac:dyDescent="0.2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12.75" customHeight="1" x14ac:dyDescent="0.2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12.75" customHeight="1" x14ac:dyDescent="0.2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12.75" customHeight="1" x14ac:dyDescent="0.2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12.75" customHeight="1" x14ac:dyDescent="0.2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12.75" customHeight="1" x14ac:dyDescent="0.2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12.75" customHeight="1" x14ac:dyDescent="0.2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12.75" customHeight="1" x14ac:dyDescent="0.2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12.75" customHeight="1" x14ac:dyDescent="0.2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12.75" customHeight="1" x14ac:dyDescent="0.2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12.75" customHeight="1" x14ac:dyDescent="0.2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12.75" customHeight="1" x14ac:dyDescent="0.2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12.75" customHeight="1" x14ac:dyDescent="0.2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12.75" customHeight="1" x14ac:dyDescent="0.2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12.75" customHeight="1" x14ac:dyDescent="0.2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12.75" customHeight="1" x14ac:dyDescent="0.2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12.75" customHeight="1" x14ac:dyDescent="0.2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12.75" customHeight="1" x14ac:dyDescent="0.2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12.75" customHeight="1" x14ac:dyDescent="0.2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12.75" customHeight="1" x14ac:dyDescent="0.2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12.75" customHeight="1" x14ac:dyDescent="0.2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12.75" customHeight="1" x14ac:dyDescent="0.2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12.75" customHeight="1" x14ac:dyDescent="0.2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12.75" customHeight="1" x14ac:dyDescent="0.2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12.75" customHeight="1" x14ac:dyDescent="0.2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12.75" customHeight="1" x14ac:dyDescent="0.2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12.75" customHeight="1" x14ac:dyDescent="0.2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12.75" customHeight="1" x14ac:dyDescent="0.2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12.75" customHeight="1" x14ac:dyDescent="0.2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12.75" customHeight="1" x14ac:dyDescent="0.2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12.75" customHeight="1" x14ac:dyDescent="0.2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12.75" customHeight="1" x14ac:dyDescent="0.2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12.75" customHeight="1" x14ac:dyDescent="0.2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12.75" customHeight="1" x14ac:dyDescent="0.2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12.75" customHeight="1" x14ac:dyDescent="0.2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12.75" customHeight="1" x14ac:dyDescent="0.2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12.75" customHeight="1" x14ac:dyDescent="0.2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12.75" customHeight="1" x14ac:dyDescent="0.2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12.75" customHeight="1" x14ac:dyDescent="0.2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12.75" customHeight="1" x14ac:dyDescent="0.2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12.75" customHeight="1" x14ac:dyDescent="0.2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12.75" customHeight="1" x14ac:dyDescent="0.2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12.75" customHeight="1" x14ac:dyDescent="0.2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12.75" customHeight="1" x14ac:dyDescent="0.2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12.75" customHeight="1" x14ac:dyDescent="0.2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12.75" customHeight="1" x14ac:dyDescent="0.2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12.75" customHeight="1" x14ac:dyDescent="0.2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12.75" customHeight="1" x14ac:dyDescent="0.2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12.75" customHeight="1" x14ac:dyDescent="0.2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12.75" customHeight="1" x14ac:dyDescent="0.2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12.75" customHeight="1" x14ac:dyDescent="0.2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12.75" customHeight="1" x14ac:dyDescent="0.2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12.75" customHeight="1" x14ac:dyDescent="0.2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12.75" customHeight="1" x14ac:dyDescent="0.2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12.75" customHeight="1" x14ac:dyDescent="0.2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12.75" customHeight="1" x14ac:dyDescent="0.2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12.75" customHeight="1" x14ac:dyDescent="0.2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12.75" customHeight="1" x14ac:dyDescent="0.2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12.75" customHeight="1" x14ac:dyDescent="0.2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12.75" customHeight="1" x14ac:dyDescent="0.2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12.75" customHeight="1" x14ac:dyDescent="0.2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12.75" customHeight="1" x14ac:dyDescent="0.2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12.75" customHeight="1" x14ac:dyDescent="0.2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12.75" customHeight="1" x14ac:dyDescent="0.2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12.75" customHeight="1" x14ac:dyDescent="0.2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12.75" customHeight="1" x14ac:dyDescent="0.2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12.75" customHeight="1" x14ac:dyDescent="0.2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12.75" customHeight="1" x14ac:dyDescent="0.2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12.75" customHeight="1" x14ac:dyDescent="0.2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12.75" customHeight="1" x14ac:dyDescent="0.2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12.75" customHeight="1" x14ac:dyDescent="0.2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12.75" customHeight="1" x14ac:dyDescent="0.2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12.75" customHeight="1" x14ac:dyDescent="0.2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12.75" customHeight="1" x14ac:dyDescent="0.2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12.75" customHeight="1" x14ac:dyDescent="0.2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12.75" customHeight="1" x14ac:dyDescent="0.2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12.75" customHeight="1" x14ac:dyDescent="0.2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12.75" customHeight="1" x14ac:dyDescent="0.2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12.75" customHeight="1" x14ac:dyDescent="0.2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12.75" customHeight="1" x14ac:dyDescent="0.2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12.75" customHeight="1" x14ac:dyDescent="0.2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12.75" customHeight="1" x14ac:dyDescent="0.2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12.75" customHeight="1" x14ac:dyDescent="0.2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12.75" customHeight="1" x14ac:dyDescent="0.2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12.75" customHeight="1" x14ac:dyDescent="0.2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12.75" customHeight="1" x14ac:dyDescent="0.2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12.75" customHeight="1" x14ac:dyDescent="0.2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12.75" customHeight="1" x14ac:dyDescent="0.2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12.75" customHeight="1" x14ac:dyDescent="0.2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12.75" customHeight="1" x14ac:dyDescent="0.2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12.75" customHeight="1" x14ac:dyDescent="0.2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12.75" customHeight="1" x14ac:dyDescent="0.2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12.75" customHeight="1" x14ac:dyDescent="0.2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12.75" customHeight="1" x14ac:dyDescent="0.2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12.75" customHeight="1" x14ac:dyDescent="0.2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12.75" customHeight="1" x14ac:dyDescent="0.2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12.75" customHeight="1" x14ac:dyDescent="0.2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12.75" customHeight="1" x14ac:dyDescent="0.2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12.75" customHeight="1" x14ac:dyDescent="0.2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12.75" customHeight="1" x14ac:dyDescent="0.2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12.75" customHeight="1" x14ac:dyDescent="0.2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12.75" customHeight="1" x14ac:dyDescent="0.2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12.75" customHeight="1" x14ac:dyDescent="0.2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12.75" customHeight="1" x14ac:dyDescent="0.2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12.75" customHeight="1" x14ac:dyDescent="0.2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12.75" customHeight="1" x14ac:dyDescent="0.2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12.75" customHeight="1" x14ac:dyDescent="0.2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12.75" customHeight="1" x14ac:dyDescent="0.2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12.75" customHeight="1" x14ac:dyDescent="0.2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12.75" customHeight="1" x14ac:dyDescent="0.2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12.75" customHeight="1" x14ac:dyDescent="0.2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12.75" customHeight="1" x14ac:dyDescent="0.2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12.75" customHeight="1" x14ac:dyDescent="0.2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12.75" customHeight="1" x14ac:dyDescent="0.2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12.75" customHeight="1" x14ac:dyDescent="0.2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12.75" customHeight="1" x14ac:dyDescent="0.2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12.75" customHeight="1" x14ac:dyDescent="0.2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12.75" customHeight="1" x14ac:dyDescent="0.2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12.75" customHeight="1" x14ac:dyDescent="0.2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12.75" customHeight="1" x14ac:dyDescent="0.2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12.75" customHeight="1" x14ac:dyDescent="0.2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12.75" customHeight="1" x14ac:dyDescent="0.2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12.75" customHeight="1" x14ac:dyDescent="0.2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12.75" customHeight="1" x14ac:dyDescent="0.2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12.75" customHeight="1" x14ac:dyDescent="0.2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12.75" customHeight="1" x14ac:dyDescent="0.2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12.75" customHeight="1" x14ac:dyDescent="0.2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12.75" customHeight="1" x14ac:dyDescent="0.2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12.75" customHeight="1" x14ac:dyDescent="0.2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12.75" customHeight="1" x14ac:dyDescent="0.2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12.75" customHeight="1" x14ac:dyDescent="0.2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12.75" customHeight="1" x14ac:dyDescent="0.2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12.75" customHeight="1" x14ac:dyDescent="0.2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12.75" customHeight="1" x14ac:dyDescent="0.2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12.75" customHeight="1" x14ac:dyDescent="0.2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12.75" customHeight="1" x14ac:dyDescent="0.2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12.75" customHeight="1" x14ac:dyDescent="0.2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12.75" customHeight="1" x14ac:dyDescent="0.2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12.75" customHeight="1" x14ac:dyDescent="0.2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12.75" customHeight="1" x14ac:dyDescent="0.2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12.75" customHeight="1" x14ac:dyDescent="0.2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12.75" customHeight="1" x14ac:dyDescent="0.2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12.75" customHeight="1" x14ac:dyDescent="0.2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12.75" customHeight="1" x14ac:dyDescent="0.2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12.75" customHeight="1" x14ac:dyDescent="0.2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12.75" customHeight="1" x14ac:dyDescent="0.2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12.75" customHeight="1" x14ac:dyDescent="0.2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12.75" customHeight="1" x14ac:dyDescent="0.2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12.75" customHeight="1" x14ac:dyDescent="0.2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12.75" customHeight="1" x14ac:dyDescent="0.2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12.75" customHeight="1" x14ac:dyDescent="0.2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12.75" customHeight="1" x14ac:dyDescent="0.2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12.75" customHeight="1" x14ac:dyDescent="0.2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12.75" customHeight="1" x14ac:dyDescent="0.2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12.75" customHeight="1" x14ac:dyDescent="0.2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12.75" customHeight="1" x14ac:dyDescent="0.2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12.75" customHeight="1" x14ac:dyDescent="0.2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12.75" customHeight="1" x14ac:dyDescent="0.2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12.75" customHeight="1" x14ac:dyDescent="0.2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12.75" customHeight="1" x14ac:dyDescent="0.2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12.75" customHeight="1" x14ac:dyDescent="0.2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12.75" customHeight="1" x14ac:dyDescent="0.2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12.75" customHeight="1" x14ac:dyDescent="0.2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12.75" customHeight="1" x14ac:dyDescent="0.2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12.75" customHeight="1" x14ac:dyDescent="0.2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12.75" customHeight="1" x14ac:dyDescent="0.2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12.75" customHeight="1" x14ac:dyDescent="0.2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12.75" customHeight="1" x14ac:dyDescent="0.2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12.75" customHeight="1" x14ac:dyDescent="0.2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12.75" customHeight="1" x14ac:dyDescent="0.2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12.75" customHeight="1" x14ac:dyDescent="0.2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12.75" customHeight="1" x14ac:dyDescent="0.2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12.75" customHeight="1" x14ac:dyDescent="0.2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12.75" customHeight="1" x14ac:dyDescent="0.2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12.75" customHeight="1" x14ac:dyDescent="0.2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12.75" customHeight="1" x14ac:dyDescent="0.2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12.75" customHeight="1" x14ac:dyDescent="0.2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12.75" customHeight="1" x14ac:dyDescent="0.2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12.75" customHeight="1" x14ac:dyDescent="0.2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12.75" customHeight="1" x14ac:dyDescent="0.2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12.75" customHeight="1" x14ac:dyDescent="0.2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12.75" customHeight="1" x14ac:dyDescent="0.2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12.75" customHeight="1" x14ac:dyDescent="0.2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12.75" customHeight="1" x14ac:dyDescent="0.2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12.75" customHeight="1" x14ac:dyDescent="0.2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12.75" customHeight="1" x14ac:dyDescent="0.2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12.75" customHeight="1" x14ac:dyDescent="0.2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12.75" customHeight="1" x14ac:dyDescent="0.2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12.75" customHeight="1" x14ac:dyDescent="0.2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12.75" customHeight="1" x14ac:dyDescent="0.2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12.75" customHeight="1" x14ac:dyDescent="0.2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12.75" customHeight="1" x14ac:dyDescent="0.2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12.75" customHeight="1" x14ac:dyDescent="0.2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12.75" customHeight="1" x14ac:dyDescent="0.2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12.75" customHeight="1" x14ac:dyDescent="0.2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12.75" customHeight="1" x14ac:dyDescent="0.2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12.75" customHeight="1" x14ac:dyDescent="0.2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12.75" customHeight="1" x14ac:dyDescent="0.2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12.75" customHeight="1" x14ac:dyDescent="0.2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12.75" customHeight="1" x14ac:dyDescent="0.2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12.75" customHeight="1" x14ac:dyDescent="0.2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12.75" customHeight="1" x14ac:dyDescent="0.2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12.75" customHeight="1" x14ac:dyDescent="0.2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12.75" customHeight="1" x14ac:dyDescent="0.2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12.75" customHeight="1" x14ac:dyDescent="0.2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12.75" customHeight="1" x14ac:dyDescent="0.2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12.75" customHeight="1" x14ac:dyDescent="0.2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12.75" customHeight="1" x14ac:dyDescent="0.2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12.75" customHeight="1" x14ac:dyDescent="0.2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12.75" customHeight="1" x14ac:dyDescent="0.2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12.75" customHeight="1" x14ac:dyDescent="0.2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12.75" customHeight="1" x14ac:dyDescent="0.2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12.75" customHeight="1" x14ac:dyDescent="0.2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12.75" customHeight="1" x14ac:dyDescent="0.2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12.75" customHeight="1" x14ac:dyDescent="0.2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12.75" customHeight="1" x14ac:dyDescent="0.2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12.75" customHeight="1" x14ac:dyDescent="0.2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12.75" customHeight="1" x14ac:dyDescent="0.2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12.75" customHeight="1" x14ac:dyDescent="0.2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12.75" customHeight="1" x14ac:dyDescent="0.2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12.75" customHeight="1" x14ac:dyDescent="0.2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12.75" customHeight="1" x14ac:dyDescent="0.2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12.75" customHeight="1" x14ac:dyDescent="0.2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12.75" customHeight="1" x14ac:dyDescent="0.2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12.75" customHeight="1" x14ac:dyDescent="0.2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12.75" customHeight="1" x14ac:dyDescent="0.2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12.75" customHeight="1" x14ac:dyDescent="0.2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12.75" customHeight="1" x14ac:dyDescent="0.2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12.75" customHeight="1" x14ac:dyDescent="0.2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12.75" customHeight="1" x14ac:dyDescent="0.2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12.75" customHeight="1" x14ac:dyDescent="0.2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12.75" customHeight="1" x14ac:dyDescent="0.2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12.75" customHeight="1" x14ac:dyDescent="0.2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12.75" customHeight="1" x14ac:dyDescent="0.2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12.75" customHeight="1" x14ac:dyDescent="0.2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12.75" customHeight="1" x14ac:dyDescent="0.2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12.75" customHeight="1" x14ac:dyDescent="0.2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12.75" customHeight="1" x14ac:dyDescent="0.2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12.75" customHeight="1" x14ac:dyDescent="0.2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12.75" customHeight="1" x14ac:dyDescent="0.2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12.75" customHeight="1" x14ac:dyDescent="0.2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12.75" customHeight="1" x14ac:dyDescent="0.2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12.75" customHeight="1" x14ac:dyDescent="0.2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12.75" customHeight="1" x14ac:dyDescent="0.2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12.75" customHeight="1" x14ac:dyDescent="0.2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12.75" customHeight="1" x14ac:dyDescent="0.2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12.75" customHeight="1" x14ac:dyDescent="0.2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12.75" customHeight="1" x14ac:dyDescent="0.2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3">
    <mergeCell ref="B2:K2"/>
    <mergeCell ref="C4:D4"/>
    <mergeCell ref="C5:D5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1.21875" defaultRowHeight="15" customHeight="1" x14ac:dyDescent="0.2"/>
  <cols>
    <col min="1" max="1" width="3.77734375" customWidth="1"/>
    <col min="2" max="2" width="10.44140625" customWidth="1"/>
    <col min="3" max="3" width="12.77734375" customWidth="1"/>
    <col min="4" max="4" width="13.77734375" customWidth="1"/>
    <col min="5" max="5" width="10" customWidth="1"/>
    <col min="6" max="6" width="10.77734375" customWidth="1"/>
    <col min="7" max="7" width="12.77734375" customWidth="1"/>
    <col min="8" max="8" width="4.21875" customWidth="1"/>
    <col min="9" max="10" width="6.77734375" customWidth="1"/>
    <col min="11" max="12" width="11.109375" customWidth="1"/>
    <col min="13" max="21" width="8.77734375" customWidth="1"/>
    <col min="22" max="26" width="8" customWidth="1"/>
  </cols>
  <sheetData>
    <row r="1" spans="1:26" ht="12.75" customHeight="1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62"/>
      <c r="W1" s="62"/>
      <c r="X1" s="62"/>
      <c r="Y1" s="62"/>
      <c r="Z1" s="62"/>
    </row>
    <row r="2" spans="1:26" ht="24.75" customHeight="1" x14ac:dyDescent="0.2">
      <c r="A2" s="109"/>
      <c r="B2" s="352" t="s">
        <v>135</v>
      </c>
      <c r="C2" s="298"/>
      <c r="D2" s="298"/>
      <c r="E2" s="298"/>
      <c r="F2" s="298"/>
      <c r="G2" s="298"/>
      <c r="H2" s="298"/>
      <c r="I2" s="298"/>
      <c r="J2" s="298"/>
      <c r="K2" s="35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62"/>
      <c r="W2" s="62"/>
      <c r="X2" s="62"/>
      <c r="Y2" s="62"/>
      <c r="Z2" s="62"/>
    </row>
    <row r="3" spans="1:26" ht="12.75" customHeight="1" x14ac:dyDescent="0.2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62"/>
      <c r="W3" s="62"/>
      <c r="X3" s="62"/>
      <c r="Y3" s="62"/>
      <c r="Z3" s="62"/>
    </row>
    <row r="4" spans="1:26" ht="31.5" customHeight="1" x14ac:dyDescent="0.2">
      <c r="A4" s="109"/>
      <c r="B4" s="109"/>
      <c r="C4" s="311" t="s">
        <v>121</v>
      </c>
      <c r="D4" s="313"/>
      <c r="E4" s="110" t="s">
        <v>26</v>
      </c>
      <c r="F4" s="110" t="s">
        <v>27</v>
      </c>
      <c r="G4" s="110" t="s">
        <v>28</v>
      </c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62"/>
      <c r="W4" s="62"/>
      <c r="X4" s="62"/>
      <c r="Y4" s="62"/>
      <c r="Z4" s="62"/>
    </row>
    <row r="5" spans="1:26" ht="18" customHeight="1" x14ac:dyDescent="0.2">
      <c r="A5" s="109"/>
      <c r="B5" s="109"/>
      <c r="C5" s="351">
        <v>899999989999</v>
      </c>
      <c r="D5" s="282"/>
      <c r="E5" s="111">
        <v>7</v>
      </c>
      <c r="F5" s="111">
        <v>2</v>
      </c>
      <c r="G5" s="112">
        <v>3</v>
      </c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62"/>
      <c r="W5" s="62"/>
      <c r="X5" s="62"/>
      <c r="Y5" s="62"/>
      <c r="Z5" s="62"/>
    </row>
    <row r="6" spans="1:26" ht="12.75" customHeight="1" x14ac:dyDescent="0.2">
      <c r="A6" s="109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62"/>
      <c r="W6" s="62"/>
      <c r="X6" s="62"/>
      <c r="Y6" s="62"/>
      <c r="Z6" s="62"/>
    </row>
    <row r="7" spans="1:26" ht="12.75" customHeight="1" x14ac:dyDescent="0.2">
      <c r="A7" s="109"/>
      <c r="B7" s="113"/>
      <c r="C7" s="114"/>
      <c r="D7" s="114"/>
      <c r="E7" s="114"/>
      <c r="F7" s="114"/>
      <c r="G7" s="135">
        <f>G5/100</f>
        <v>0.03</v>
      </c>
      <c r="H7" s="114"/>
      <c r="I7" s="114"/>
      <c r="J7" s="114"/>
      <c r="K7" s="116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62"/>
      <c r="W7" s="62"/>
      <c r="X7" s="62"/>
      <c r="Y7" s="62"/>
      <c r="Z7" s="62"/>
    </row>
    <row r="8" spans="1:26" ht="12.75" customHeight="1" x14ac:dyDescent="0.2">
      <c r="A8" s="109"/>
      <c r="B8" s="117" t="s">
        <v>122</v>
      </c>
      <c r="C8" s="117" t="s">
        <v>123</v>
      </c>
      <c r="D8" s="117" t="s">
        <v>124</v>
      </c>
      <c r="E8" s="117" t="s">
        <v>125</v>
      </c>
      <c r="F8" s="117" t="s">
        <v>126</v>
      </c>
      <c r="G8" s="117" t="s">
        <v>127</v>
      </c>
      <c r="H8" s="117" t="s">
        <v>128</v>
      </c>
      <c r="I8" s="118" t="s">
        <v>129</v>
      </c>
      <c r="J8" s="117" t="s">
        <v>130</v>
      </c>
      <c r="K8" s="117" t="s">
        <v>131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62"/>
      <c r="W8" s="62"/>
      <c r="X8" s="62"/>
      <c r="Y8" s="62"/>
      <c r="Z8" s="62"/>
    </row>
    <row r="9" spans="1:26" ht="12.75" customHeight="1" x14ac:dyDescent="0.2">
      <c r="A9" s="109"/>
      <c r="B9" s="119"/>
      <c r="C9" s="120"/>
      <c r="D9" s="120"/>
      <c r="E9" s="120"/>
      <c r="F9" s="120"/>
      <c r="G9" s="121">
        <f>C5</f>
        <v>899999989999</v>
      </c>
      <c r="H9" s="120"/>
      <c r="I9" s="121"/>
      <c r="J9" s="122"/>
      <c r="K9" s="123">
        <f>G9</f>
        <v>899999989999</v>
      </c>
      <c r="L9" s="109"/>
      <c r="M9" s="124"/>
      <c r="N9" s="109"/>
      <c r="O9" s="109"/>
      <c r="P9" s="109"/>
      <c r="Q9" s="109"/>
      <c r="R9" s="109"/>
      <c r="S9" s="109"/>
      <c r="T9" s="109"/>
      <c r="U9" s="109"/>
      <c r="V9" s="62"/>
      <c r="W9" s="62"/>
      <c r="X9" s="62"/>
      <c r="Y9" s="62"/>
      <c r="Z9" s="62"/>
    </row>
    <row r="10" spans="1:26" ht="12.75" customHeight="1" x14ac:dyDescent="0.2">
      <c r="A10" s="109"/>
      <c r="B10" s="125">
        <f>C10+B9</f>
        <v>26999999699.970001</v>
      </c>
      <c r="C10" s="121">
        <f t="shared" ref="C10:C29" si="0">ROUND(G9*$G$7,2)</f>
        <v>26999999699.970001</v>
      </c>
      <c r="D10" s="121">
        <f t="shared" ref="D10:D29" si="1">ROUND(C10,2)</f>
        <v>26999999699.970001</v>
      </c>
      <c r="E10" s="121">
        <f>TRUNC(IF(H10=$E$5,$C$5,TRUNC(IF(H10&gt;$E$5,0,IF(J10="Sim",0,$G$9/($E$5-$F$5))),2)),2)</f>
        <v>0</v>
      </c>
      <c r="F10" s="121">
        <f t="shared" ref="F10:F29" si="2">E10+D10</f>
        <v>26999999699.970001</v>
      </c>
      <c r="G10" s="121">
        <f t="shared" ref="G10:G29" si="3">G9+C10-F10</f>
        <v>899999989999</v>
      </c>
      <c r="H10" s="120">
        <v>1</v>
      </c>
      <c r="I10" s="126">
        <f t="shared" ref="I10:I29" si="4">IF(K9=0,0,E10/K9)</f>
        <v>0</v>
      </c>
      <c r="J10" s="122" t="str">
        <f t="shared" ref="J10:J29" si="5">IF(H10&lt;=$F$5,"Sim","Não")</f>
        <v>Sim</v>
      </c>
      <c r="K10" s="123">
        <f t="shared" ref="K10:K29" si="6">K9-E10</f>
        <v>899999989999</v>
      </c>
      <c r="L10" s="109"/>
      <c r="M10" s="124"/>
      <c r="N10" s="109"/>
      <c r="O10" s="109"/>
      <c r="P10" s="109"/>
      <c r="Q10" s="109"/>
      <c r="R10" s="109"/>
      <c r="S10" s="109"/>
      <c r="T10" s="109"/>
      <c r="U10" s="109"/>
      <c r="V10" s="62"/>
      <c r="W10" s="62"/>
      <c r="X10" s="62"/>
      <c r="Y10" s="62"/>
      <c r="Z10" s="62"/>
    </row>
    <row r="11" spans="1:26" ht="12.75" customHeight="1" x14ac:dyDescent="0.2">
      <c r="A11" s="109"/>
      <c r="B11" s="125">
        <f t="shared" ref="B11:B29" si="7">C11+B10-D10</f>
        <v>26999999699.970001</v>
      </c>
      <c r="C11" s="121">
        <f t="shared" si="0"/>
        <v>26999999699.970001</v>
      </c>
      <c r="D11" s="121">
        <f t="shared" si="1"/>
        <v>26999999699.970001</v>
      </c>
      <c r="E11" s="121">
        <f t="shared" ref="E11:E29" si="8">TRUNC(IF(H11=$E$5,ROUND($C$5-SUM($E$10:E10),2),TRUNC(IF(H11&gt;$E$5,0,IF(J11="Sim",0,$G$9/($E$5-$F$5))),2)),2)</f>
        <v>0</v>
      </c>
      <c r="F11" s="121">
        <f t="shared" si="2"/>
        <v>26999999699.970001</v>
      </c>
      <c r="G11" s="121">
        <f t="shared" si="3"/>
        <v>899999989999</v>
      </c>
      <c r="H11" s="120">
        <v>2</v>
      </c>
      <c r="I11" s="126">
        <f t="shared" si="4"/>
        <v>0</v>
      </c>
      <c r="J11" s="122" t="str">
        <f t="shared" si="5"/>
        <v>Sim</v>
      </c>
      <c r="K11" s="123">
        <f t="shared" si="6"/>
        <v>899999989999</v>
      </c>
      <c r="L11" s="109"/>
      <c r="M11" s="124"/>
      <c r="N11" s="109"/>
      <c r="O11" s="109"/>
      <c r="P11" s="109"/>
      <c r="Q11" s="109"/>
      <c r="R11" s="109"/>
      <c r="S11" s="109"/>
      <c r="T11" s="109"/>
      <c r="U11" s="109"/>
      <c r="V11" s="62"/>
      <c r="W11" s="62"/>
      <c r="X11" s="62"/>
      <c r="Y11" s="62"/>
      <c r="Z11" s="62"/>
    </row>
    <row r="12" spans="1:26" ht="12.75" customHeight="1" x14ac:dyDescent="0.2">
      <c r="A12" s="109"/>
      <c r="B12" s="125">
        <f t="shared" si="7"/>
        <v>26999999699.970001</v>
      </c>
      <c r="C12" s="121">
        <f t="shared" si="0"/>
        <v>26999999699.970001</v>
      </c>
      <c r="D12" s="121">
        <f t="shared" si="1"/>
        <v>26999999699.970001</v>
      </c>
      <c r="E12" s="121">
        <f t="shared" si="8"/>
        <v>179999997999.79999</v>
      </c>
      <c r="F12" s="121">
        <f t="shared" si="2"/>
        <v>206999997699.76999</v>
      </c>
      <c r="G12" s="121">
        <f t="shared" si="3"/>
        <v>719999991999.19995</v>
      </c>
      <c r="H12" s="120">
        <v>3</v>
      </c>
      <c r="I12" s="126">
        <f t="shared" si="4"/>
        <v>0.19999999999999998</v>
      </c>
      <c r="J12" s="122" t="str">
        <f t="shared" si="5"/>
        <v>Não</v>
      </c>
      <c r="K12" s="123">
        <f t="shared" si="6"/>
        <v>719999991999.19995</v>
      </c>
      <c r="L12" s="109"/>
      <c r="M12" s="124"/>
      <c r="N12" s="109"/>
      <c r="O12" s="109"/>
      <c r="P12" s="109"/>
      <c r="Q12" s="109"/>
      <c r="R12" s="109"/>
      <c r="S12" s="109"/>
      <c r="T12" s="109"/>
      <c r="U12" s="109"/>
      <c r="V12" s="62"/>
      <c r="W12" s="62"/>
      <c r="X12" s="62"/>
      <c r="Y12" s="62"/>
      <c r="Z12" s="62"/>
    </row>
    <row r="13" spans="1:26" ht="12.75" customHeight="1" x14ac:dyDescent="0.2">
      <c r="A13" s="109"/>
      <c r="B13" s="125">
        <f t="shared" si="7"/>
        <v>21599999759.979996</v>
      </c>
      <c r="C13" s="121">
        <f t="shared" si="0"/>
        <v>21599999759.98</v>
      </c>
      <c r="D13" s="121">
        <f t="shared" si="1"/>
        <v>21599999759.98</v>
      </c>
      <c r="E13" s="121">
        <f t="shared" si="8"/>
        <v>179999997999.79999</v>
      </c>
      <c r="F13" s="121">
        <f t="shared" si="2"/>
        <v>201599997759.78</v>
      </c>
      <c r="G13" s="121">
        <f t="shared" si="3"/>
        <v>539999993999.3999</v>
      </c>
      <c r="H13" s="120">
        <v>4</v>
      </c>
      <c r="I13" s="126">
        <f t="shared" si="4"/>
        <v>0.25</v>
      </c>
      <c r="J13" s="122" t="str">
        <f t="shared" si="5"/>
        <v>Não</v>
      </c>
      <c r="K13" s="123">
        <f t="shared" si="6"/>
        <v>539999993999.39996</v>
      </c>
      <c r="L13" s="109"/>
      <c r="M13" s="124"/>
      <c r="N13" s="109"/>
      <c r="O13" s="109"/>
      <c r="P13" s="109"/>
      <c r="Q13" s="109"/>
      <c r="R13" s="109"/>
      <c r="S13" s="109"/>
      <c r="T13" s="109"/>
      <c r="U13" s="109"/>
      <c r="V13" s="62"/>
      <c r="W13" s="62"/>
      <c r="X13" s="62"/>
      <c r="Y13" s="62"/>
      <c r="Z13" s="62"/>
    </row>
    <row r="14" spans="1:26" ht="12.75" customHeight="1" x14ac:dyDescent="0.2">
      <c r="A14" s="109"/>
      <c r="B14" s="125">
        <f t="shared" si="7"/>
        <v>16199999819.979992</v>
      </c>
      <c r="C14" s="121">
        <f t="shared" si="0"/>
        <v>16199999819.98</v>
      </c>
      <c r="D14" s="121">
        <f t="shared" si="1"/>
        <v>16199999819.98</v>
      </c>
      <c r="E14" s="121">
        <f t="shared" si="8"/>
        <v>179999997999.79999</v>
      </c>
      <c r="F14" s="121">
        <f t="shared" si="2"/>
        <v>196199997819.78</v>
      </c>
      <c r="G14" s="121">
        <f t="shared" si="3"/>
        <v>359999995999.59985</v>
      </c>
      <c r="H14" s="120">
        <v>5</v>
      </c>
      <c r="I14" s="126">
        <f t="shared" si="4"/>
        <v>0.33333333333333331</v>
      </c>
      <c r="J14" s="122" t="str">
        <f t="shared" si="5"/>
        <v>Não</v>
      </c>
      <c r="K14" s="123">
        <f t="shared" si="6"/>
        <v>359999995999.59998</v>
      </c>
      <c r="L14" s="109"/>
      <c r="M14" s="124"/>
      <c r="N14" s="109"/>
      <c r="O14" s="109"/>
      <c r="P14" s="109"/>
      <c r="Q14" s="109"/>
      <c r="R14" s="109"/>
      <c r="S14" s="109"/>
      <c r="T14" s="109"/>
      <c r="U14" s="109"/>
      <c r="V14" s="62"/>
      <c r="W14" s="62"/>
      <c r="X14" s="62"/>
      <c r="Y14" s="62"/>
      <c r="Z14" s="62"/>
    </row>
    <row r="15" spans="1:26" ht="12.75" customHeight="1" x14ac:dyDescent="0.2">
      <c r="A15" s="109"/>
      <c r="B15" s="125">
        <f t="shared" si="7"/>
        <v>10799999879.989994</v>
      </c>
      <c r="C15" s="121">
        <f t="shared" si="0"/>
        <v>10799999879.99</v>
      </c>
      <c r="D15" s="121">
        <f t="shared" si="1"/>
        <v>10799999879.99</v>
      </c>
      <c r="E15" s="121">
        <f t="shared" si="8"/>
        <v>179999997999.79999</v>
      </c>
      <c r="F15" s="121">
        <f t="shared" si="2"/>
        <v>190799997879.78998</v>
      </c>
      <c r="G15" s="121">
        <f t="shared" si="3"/>
        <v>179999997999.79987</v>
      </c>
      <c r="H15" s="120">
        <v>6</v>
      </c>
      <c r="I15" s="126">
        <f t="shared" si="4"/>
        <v>0.5</v>
      </c>
      <c r="J15" s="122" t="str">
        <f t="shared" si="5"/>
        <v>Não</v>
      </c>
      <c r="K15" s="123">
        <f t="shared" si="6"/>
        <v>179999997999.79999</v>
      </c>
      <c r="L15" s="109"/>
      <c r="M15" s="124"/>
      <c r="N15" s="109"/>
      <c r="O15" s="109"/>
      <c r="P15" s="109"/>
      <c r="Q15" s="109"/>
      <c r="R15" s="109"/>
      <c r="S15" s="109"/>
      <c r="T15" s="109"/>
      <c r="U15" s="109"/>
      <c r="V15" s="62"/>
      <c r="W15" s="62"/>
      <c r="X15" s="62"/>
      <c r="Y15" s="62"/>
      <c r="Z15" s="62"/>
    </row>
    <row r="16" spans="1:26" ht="12.75" customHeight="1" x14ac:dyDescent="0.2">
      <c r="A16" s="109"/>
      <c r="B16" s="125">
        <f t="shared" si="7"/>
        <v>5399999939.989994</v>
      </c>
      <c r="C16" s="121">
        <f t="shared" si="0"/>
        <v>5399999939.9899998</v>
      </c>
      <c r="D16" s="121">
        <f t="shared" si="1"/>
        <v>5399999939.9899998</v>
      </c>
      <c r="E16" s="121">
        <f t="shared" si="8"/>
        <v>179999997999.79999</v>
      </c>
      <c r="F16" s="121">
        <f t="shared" si="2"/>
        <v>185399997939.78998</v>
      </c>
      <c r="G16" s="121">
        <f t="shared" si="3"/>
        <v>0</v>
      </c>
      <c r="H16" s="120">
        <v>7</v>
      </c>
      <c r="I16" s="126">
        <f t="shared" si="4"/>
        <v>1</v>
      </c>
      <c r="J16" s="122" t="str">
        <f t="shared" si="5"/>
        <v>Não</v>
      </c>
      <c r="K16" s="123">
        <f t="shared" si="6"/>
        <v>0</v>
      </c>
      <c r="L16" s="109"/>
      <c r="M16" s="124"/>
      <c r="N16" s="109"/>
      <c r="O16" s="109"/>
      <c r="P16" s="109"/>
      <c r="Q16" s="109"/>
      <c r="R16" s="109"/>
      <c r="S16" s="109"/>
      <c r="T16" s="109"/>
      <c r="U16" s="109"/>
      <c r="V16" s="62"/>
      <c r="W16" s="62"/>
      <c r="X16" s="62"/>
      <c r="Y16" s="62"/>
      <c r="Z16" s="62"/>
    </row>
    <row r="17" spans="1:26" ht="12.75" customHeight="1" x14ac:dyDescent="0.2">
      <c r="A17" s="109"/>
      <c r="B17" s="125">
        <f t="shared" si="7"/>
        <v>0</v>
      </c>
      <c r="C17" s="121">
        <f t="shared" si="0"/>
        <v>0</v>
      </c>
      <c r="D17" s="121">
        <f t="shared" si="1"/>
        <v>0</v>
      </c>
      <c r="E17" s="121">
        <f t="shared" si="8"/>
        <v>0</v>
      </c>
      <c r="F17" s="121">
        <f t="shared" si="2"/>
        <v>0</v>
      </c>
      <c r="G17" s="121">
        <f t="shared" si="3"/>
        <v>0</v>
      </c>
      <c r="H17" s="120">
        <v>8</v>
      </c>
      <c r="I17" s="126">
        <f t="shared" si="4"/>
        <v>0</v>
      </c>
      <c r="J17" s="122" t="str">
        <f t="shared" si="5"/>
        <v>Não</v>
      </c>
      <c r="K17" s="123">
        <f t="shared" si="6"/>
        <v>0</v>
      </c>
      <c r="L17" s="109"/>
      <c r="M17" s="124"/>
      <c r="N17" s="109"/>
      <c r="O17" s="109"/>
      <c r="P17" s="109"/>
      <c r="Q17" s="109"/>
      <c r="R17" s="109"/>
      <c r="S17" s="109"/>
      <c r="T17" s="109"/>
      <c r="U17" s="109"/>
      <c r="V17" s="62"/>
      <c r="W17" s="62"/>
      <c r="X17" s="62"/>
      <c r="Y17" s="62"/>
      <c r="Z17" s="62"/>
    </row>
    <row r="18" spans="1:26" ht="12.75" customHeight="1" x14ac:dyDescent="0.2">
      <c r="A18" s="109"/>
      <c r="B18" s="125">
        <f t="shared" si="7"/>
        <v>0</v>
      </c>
      <c r="C18" s="121">
        <f t="shared" si="0"/>
        <v>0</v>
      </c>
      <c r="D18" s="121">
        <f t="shared" si="1"/>
        <v>0</v>
      </c>
      <c r="E18" s="121">
        <f t="shared" si="8"/>
        <v>0</v>
      </c>
      <c r="F18" s="121">
        <f t="shared" si="2"/>
        <v>0</v>
      </c>
      <c r="G18" s="121">
        <f t="shared" si="3"/>
        <v>0</v>
      </c>
      <c r="H18" s="120">
        <v>9</v>
      </c>
      <c r="I18" s="126">
        <f t="shared" si="4"/>
        <v>0</v>
      </c>
      <c r="J18" s="122" t="str">
        <f t="shared" si="5"/>
        <v>Não</v>
      </c>
      <c r="K18" s="123">
        <f t="shared" si="6"/>
        <v>0</v>
      </c>
      <c r="L18" s="109"/>
      <c r="M18" s="124"/>
      <c r="N18" s="109"/>
      <c r="O18" s="109"/>
      <c r="P18" s="109"/>
      <c r="Q18" s="109"/>
      <c r="R18" s="109"/>
      <c r="S18" s="109"/>
      <c r="T18" s="109"/>
      <c r="U18" s="109"/>
      <c r="V18" s="62"/>
      <c r="W18" s="62"/>
      <c r="X18" s="62"/>
      <c r="Y18" s="62"/>
      <c r="Z18" s="62"/>
    </row>
    <row r="19" spans="1:26" ht="12.75" customHeight="1" x14ac:dyDescent="0.2">
      <c r="A19" s="109"/>
      <c r="B19" s="125">
        <f t="shared" si="7"/>
        <v>0</v>
      </c>
      <c r="C19" s="121">
        <f t="shared" si="0"/>
        <v>0</v>
      </c>
      <c r="D19" s="121">
        <f t="shared" si="1"/>
        <v>0</v>
      </c>
      <c r="E19" s="121">
        <f t="shared" si="8"/>
        <v>0</v>
      </c>
      <c r="F19" s="121">
        <f t="shared" si="2"/>
        <v>0</v>
      </c>
      <c r="G19" s="121">
        <f t="shared" si="3"/>
        <v>0</v>
      </c>
      <c r="H19" s="120">
        <v>10</v>
      </c>
      <c r="I19" s="126">
        <f t="shared" si="4"/>
        <v>0</v>
      </c>
      <c r="J19" s="122" t="str">
        <f t="shared" si="5"/>
        <v>Não</v>
      </c>
      <c r="K19" s="123">
        <f t="shared" si="6"/>
        <v>0</v>
      </c>
      <c r="L19" s="109"/>
      <c r="M19" s="124"/>
      <c r="N19" s="109"/>
      <c r="O19" s="109"/>
      <c r="P19" s="109"/>
      <c r="Q19" s="109"/>
      <c r="R19" s="109"/>
      <c r="S19" s="109"/>
      <c r="T19" s="109"/>
      <c r="U19" s="109"/>
      <c r="V19" s="62"/>
      <c r="W19" s="62"/>
      <c r="X19" s="62"/>
      <c r="Y19" s="62"/>
      <c r="Z19" s="62"/>
    </row>
    <row r="20" spans="1:26" ht="12.75" customHeight="1" x14ac:dyDescent="0.2">
      <c r="A20" s="109"/>
      <c r="B20" s="125">
        <f t="shared" si="7"/>
        <v>0</v>
      </c>
      <c r="C20" s="121">
        <f t="shared" si="0"/>
        <v>0</v>
      </c>
      <c r="D20" s="121">
        <f t="shared" si="1"/>
        <v>0</v>
      </c>
      <c r="E20" s="121">
        <f t="shared" si="8"/>
        <v>0</v>
      </c>
      <c r="F20" s="121">
        <f t="shared" si="2"/>
        <v>0</v>
      </c>
      <c r="G20" s="121">
        <f t="shared" si="3"/>
        <v>0</v>
      </c>
      <c r="H20" s="120">
        <v>11</v>
      </c>
      <c r="I20" s="126">
        <f t="shared" si="4"/>
        <v>0</v>
      </c>
      <c r="J20" s="122" t="str">
        <f t="shared" si="5"/>
        <v>Não</v>
      </c>
      <c r="K20" s="123">
        <f t="shared" si="6"/>
        <v>0</v>
      </c>
      <c r="L20" s="109"/>
      <c r="M20" s="124"/>
      <c r="N20" s="109"/>
      <c r="O20" s="109"/>
      <c r="P20" s="109"/>
      <c r="Q20" s="109"/>
      <c r="R20" s="109"/>
      <c r="S20" s="109"/>
      <c r="T20" s="109"/>
      <c r="U20" s="109"/>
      <c r="V20" s="62"/>
      <c r="W20" s="62"/>
      <c r="X20" s="62"/>
      <c r="Y20" s="62"/>
      <c r="Z20" s="62"/>
    </row>
    <row r="21" spans="1:26" ht="12.75" customHeight="1" x14ac:dyDescent="0.2">
      <c r="A21" s="109"/>
      <c r="B21" s="125">
        <f t="shared" si="7"/>
        <v>0</v>
      </c>
      <c r="C21" s="121">
        <f t="shared" si="0"/>
        <v>0</v>
      </c>
      <c r="D21" s="121">
        <f t="shared" si="1"/>
        <v>0</v>
      </c>
      <c r="E21" s="121">
        <f t="shared" si="8"/>
        <v>0</v>
      </c>
      <c r="F21" s="121">
        <f t="shared" si="2"/>
        <v>0</v>
      </c>
      <c r="G21" s="121">
        <f t="shared" si="3"/>
        <v>0</v>
      </c>
      <c r="H21" s="120">
        <v>12</v>
      </c>
      <c r="I21" s="126">
        <f t="shared" si="4"/>
        <v>0</v>
      </c>
      <c r="J21" s="122" t="str">
        <f t="shared" si="5"/>
        <v>Não</v>
      </c>
      <c r="K21" s="123">
        <f t="shared" si="6"/>
        <v>0</v>
      </c>
      <c r="L21" s="109"/>
      <c r="M21" s="124"/>
      <c r="N21" s="109"/>
      <c r="O21" s="109"/>
      <c r="P21" s="109"/>
      <c r="Q21" s="109"/>
      <c r="R21" s="109"/>
      <c r="S21" s="109"/>
      <c r="T21" s="109"/>
      <c r="U21" s="109"/>
      <c r="V21" s="62"/>
      <c r="W21" s="62"/>
      <c r="X21" s="62"/>
      <c r="Y21" s="62"/>
      <c r="Z21" s="62"/>
    </row>
    <row r="22" spans="1:26" ht="12.75" customHeight="1" x14ac:dyDescent="0.2">
      <c r="A22" s="109"/>
      <c r="B22" s="125">
        <f t="shared" si="7"/>
        <v>0</v>
      </c>
      <c r="C22" s="121">
        <f t="shared" si="0"/>
        <v>0</v>
      </c>
      <c r="D22" s="121">
        <f t="shared" si="1"/>
        <v>0</v>
      </c>
      <c r="E22" s="121">
        <f t="shared" si="8"/>
        <v>0</v>
      </c>
      <c r="F22" s="121">
        <f t="shared" si="2"/>
        <v>0</v>
      </c>
      <c r="G22" s="121">
        <f t="shared" si="3"/>
        <v>0</v>
      </c>
      <c r="H22" s="120">
        <v>13</v>
      </c>
      <c r="I22" s="126">
        <f t="shared" si="4"/>
        <v>0</v>
      </c>
      <c r="J22" s="122" t="str">
        <f t="shared" si="5"/>
        <v>Não</v>
      </c>
      <c r="K22" s="123">
        <f t="shared" si="6"/>
        <v>0</v>
      </c>
      <c r="L22" s="109"/>
      <c r="M22" s="124"/>
      <c r="N22" s="109"/>
      <c r="O22" s="109"/>
      <c r="P22" s="109"/>
      <c r="Q22" s="109"/>
      <c r="R22" s="109"/>
      <c r="S22" s="109"/>
      <c r="T22" s="109"/>
      <c r="U22" s="109"/>
      <c r="V22" s="62"/>
      <c r="W22" s="62"/>
      <c r="X22" s="62"/>
      <c r="Y22" s="62"/>
      <c r="Z22" s="62"/>
    </row>
    <row r="23" spans="1:26" ht="12.75" customHeight="1" x14ac:dyDescent="0.2">
      <c r="A23" s="109"/>
      <c r="B23" s="125">
        <f t="shared" si="7"/>
        <v>0</v>
      </c>
      <c r="C23" s="121">
        <f t="shared" si="0"/>
        <v>0</v>
      </c>
      <c r="D23" s="121">
        <f t="shared" si="1"/>
        <v>0</v>
      </c>
      <c r="E23" s="121">
        <f t="shared" si="8"/>
        <v>0</v>
      </c>
      <c r="F23" s="121">
        <f t="shared" si="2"/>
        <v>0</v>
      </c>
      <c r="G23" s="121">
        <f t="shared" si="3"/>
        <v>0</v>
      </c>
      <c r="H23" s="120">
        <v>14</v>
      </c>
      <c r="I23" s="126">
        <f t="shared" si="4"/>
        <v>0</v>
      </c>
      <c r="J23" s="122" t="str">
        <f t="shared" si="5"/>
        <v>Não</v>
      </c>
      <c r="K23" s="123">
        <f t="shared" si="6"/>
        <v>0</v>
      </c>
      <c r="L23" s="109"/>
      <c r="M23" s="124"/>
      <c r="N23" s="109"/>
      <c r="O23" s="109"/>
      <c r="P23" s="109"/>
      <c r="Q23" s="109"/>
      <c r="R23" s="109"/>
      <c r="S23" s="109"/>
      <c r="T23" s="109"/>
      <c r="U23" s="109"/>
      <c r="V23" s="62"/>
      <c r="W23" s="62"/>
      <c r="X23" s="62"/>
      <c r="Y23" s="62"/>
      <c r="Z23" s="62"/>
    </row>
    <row r="24" spans="1:26" ht="12.75" customHeight="1" x14ac:dyDescent="0.2">
      <c r="A24" s="109"/>
      <c r="B24" s="125">
        <f t="shared" si="7"/>
        <v>0</v>
      </c>
      <c r="C24" s="121">
        <f t="shared" si="0"/>
        <v>0</v>
      </c>
      <c r="D24" s="121">
        <f t="shared" si="1"/>
        <v>0</v>
      </c>
      <c r="E24" s="121">
        <f t="shared" si="8"/>
        <v>0</v>
      </c>
      <c r="F24" s="121">
        <f t="shared" si="2"/>
        <v>0</v>
      </c>
      <c r="G24" s="121">
        <f t="shared" si="3"/>
        <v>0</v>
      </c>
      <c r="H24" s="120">
        <v>15</v>
      </c>
      <c r="I24" s="126">
        <f t="shared" si="4"/>
        <v>0</v>
      </c>
      <c r="J24" s="122" t="str">
        <f t="shared" si="5"/>
        <v>Não</v>
      </c>
      <c r="K24" s="123">
        <f t="shared" si="6"/>
        <v>0</v>
      </c>
      <c r="L24" s="109"/>
      <c r="M24" s="124"/>
      <c r="N24" s="109"/>
      <c r="O24" s="109"/>
      <c r="P24" s="109"/>
      <c r="Q24" s="109"/>
      <c r="R24" s="109"/>
      <c r="S24" s="109"/>
      <c r="T24" s="109"/>
      <c r="U24" s="109"/>
      <c r="V24" s="62"/>
      <c r="W24" s="62"/>
      <c r="X24" s="62"/>
      <c r="Y24" s="62"/>
      <c r="Z24" s="62"/>
    </row>
    <row r="25" spans="1:26" ht="12.75" customHeight="1" x14ac:dyDescent="0.2">
      <c r="A25" s="109"/>
      <c r="B25" s="125">
        <f t="shared" si="7"/>
        <v>0</v>
      </c>
      <c r="C25" s="121">
        <f t="shared" si="0"/>
        <v>0</v>
      </c>
      <c r="D25" s="121">
        <f t="shared" si="1"/>
        <v>0</v>
      </c>
      <c r="E25" s="121">
        <f t="shared" si="8"/>
        <v>0</v>
      </c>
      <c r="F25" s="121">
        <f t="shared" si="2"/>
        <v>0</v>
      </c>
      <c r="G25" s="121">
        <f t="shared" si="3"/>
        <v>0</v>
      </c>
      <c r="H25" s="120">
        <v>16</v>
      </c>
      <c r="I25" s="126">
        <f t="shared" si="4"/>
        <v>0</v>
      </c>
      <c r="J25" s="122" t="str">
        <f t="shared" si="5"/>
        <v>Não</v>
      </c>
      <c r="K25" s="123">
        <f t="shared" si="6"/>
        <v>0</v>
      </c>
      <c r="L25" s="109"/>
      <c r="M25" s="124"/>
      <c r="N25" s="109"/>
      <c r="O25" s="109"/>
      <c r="P25" s="109"/>
      <c r="Q25" s="109"/>
      <c r="R25" s="109"/>
      <c r="S25" s="109"/>
      <c r="T25" s="109"/>
      <c r="U25" s="109"/>
      <c r="V25" s="62"/>
      <c r="W25" s="62"/>
      <c r="X25" s="62"/>
      <c r="Y25" s="62"/>
      <c r="Z25" s="62"/>
    </row>
    <row r="26" spans="1:26" ht="12.75" customHeight="1" x14ac:dyDescent="0.2">
      <c r="A26" s="109"/>
      <c r="B26" s="125">
        <f t="shared" si="7"/>
        <v>0</v>
      </c>
      <c r="C26" s="121">
        <f t="shared" si="0"/>
        <v>0</v>
      </c>
      <c r="D26" s="121">
        <f t="shared" si="1"/>
        <v>0</v>
      </c>
      <c r="E26" s="121">
        <f t="shared" si="8"/>
        <v>0</v>
      </c>
      <c r="F26" s="121">
        <f t="shared" si="2"/>
        <v>0</v>
      </c>
      <c r="G26" s="121">
        <f t="shared" si="3"/>
        <v>0</v>
      </c>
      <c r="H26" s="120">
        <v>17</v>
      </c>
      <c r="I26" s="126">
        <f t="shared" si="4"/>
        <v>0</v>
      </c>
      <c r="J26" s="122" t="str">
        <f t="shared" si="5"/>
        <v>Não</v>
      </c>
      <c r="K26" s="123">
        <f t="shared" si="6"/>
        <v>0</v>
      </c>
      <c r="L26" s="109"/>
      <c r="M26" s="124"/>
      <c r="N26" s="109"/>
      <c r="O26" s="109"/>
      <c r="P26" s="109"/>
      <c r="Q26" s="109"/>
      <c r="R26" s="109"/>
      <c r="S26" s="109"/>
      <c r="T26" s="109"/>
      <c r="U26" s="109"/>
      <c r="V26" s="62"/>
      <c r="W26" s="62"/>
      <c r="X26" s="62"/>
      <c r="Y26" s="62"/>
      <c r="Z26" s="62"/>
    </row>
    <row r="27" spans="1:26" ht="12.75" customHeight="1" x14ac:dyDescent="0.2">
      <c r="A27" s="109"/>
      <c r="B27" s="125">
        <f t="shared" si="7"/>
        <v>0</v>
      </c>
      <c r="C27" s="121">
        <f t="shared" si="0"/>
        <v>0</v>
      </c>
      <c r="D27" s="121">
        <f t="shared" si="1"/>
        <v>0</v>
      </c>
      <c r="E27" s="121">
        <f t="shared" si="8"/>
        <v>0</v>
      </c>
      <c r="F27" s="121">
        <f t="shared" si="2"/>
        <v>0</v>
      </c>
      <c r="G27" s="121">
        <f t="shared" si="3"/>
        <v>0</v>
      </c>
      <c r="H27" s="120">
        <v>18</v>
      </c>
      <c r="I27" s="126">
        <f t="shared" si="4"/>
        <v>0</v>
      </c>
      <c r="J27" s="122" t="str">
        <f t="shared" si="5"/>
        <v>Não</v>
      </c>
      <c r="K27" s="123">
        <f t="shared" si="6"/>
        <v>0</v>
      </c>
      <c r="L27" s="109"/>
      <c r="M27" s="124"/>
      <c r="N27" s="109"/>
      <c r="O27" s="109"/>
      <c r="P27" s="109"/>
      <c r="Q27" s="109"/>
      <c r="R27" s="109"/>
      <c r="S27" s="109"/>
      <c r="T27" s="109"/>
      <c r="U27" s="109"/>
      <c r="V27" s="62"/>
      <c r="W27" s="62"/>
      <c r="X27" s="62"/>
      <c r="Y27" s="62"/>
      <c r="Z27" s="62"/>
    </row>
    <row r="28" spans="1:26" ht="12.75" customHeight="1" x14ac:dyDescent="0.2">
      <c r="A28" s="109"/>
      <c r="B28" s="125">
        <f t="shared" si="7"/>
        <v>0</v>
      </c>
      <c r="C28" s="121">
        <f t="shared" si="0"/>
        <v>0</v>
      </c>
      <c r="D28" s="121">
        <f t="shared" si="1"/>
        <v>0</v>
      </c>
      <c r="E28" s="121">
        <f t="shared" si="8"/>
        <v>0</v>
      </c>
      <c r="F28" s="121">
        <f t="shared" si="2"/>
        <v>0</v>
      </c>
      <c r="G28" s="121">
        <f t="shared" si="3"/>
        <v>0</v>
      </c>
      <c r="H28" s="120">
        <v>19</v>
      </c>
      <c r="I28" s="126">
        <f t="shared" si="4"/>
        <v>0</v>
      </c>
      <c r="J28" s="122" t="str">
        <f t="shared" si="5"/>
        <v>Não</v>
      </c>
      <c r="K28" s="123">
        <f t="shared" si="6"/>
        <v>0</v>
      </c>
      <c r="L28" s="109"/>
      <c r="M28" s="124"/>
      <c r="N28" s="109"/>
      <c r="O28" s="109"/>
      <c r="P28" s="109"/>
      <c r="Q28" s="109"/>
      <c r="R28" s="109"/>
      <c r="S28" s="109"/>
      <c r="T28" s="109"/>
      <c r="U28" s="109"/>
      <c r="V28" s="62"/>
      <c r="W28" s="62"/>
      <c r="X28" s="62"/>
      <c r="Y28" s="62"/>
      <c r="Z28" s="62"/>
    </row>
    <row r="29" spans="1:26" ht="12.75" customHeight="1" x14ac:dyDescent="0.2">
      <c r="A29" s="109"/>
      <c r="B29" s="125">
        <f t="shared" si="7"/>
        <v>0</v>
      </c>
      <c r="C29" s="121">
        <f t="shared" si="0"/>
        <v>0</v>
      </c>
      <c r="D29" s="121">
        <f t="shared" si="1"/>
        <v>0</v>
      </c>
      <c r="E29" s="121">
        <f t="shared" si="8"/>
        <v>0</v>
      </c>
      <c r="F29" s="121">
        <f t="shared" si="2"/>
        <v>0</v>
      </c>
      <c r="G29" s="121">
        <f t="shared" si="3"/>
        <v>0</v>
      </c>
      <c r="H29" s="120">
        <v>20</v>
      </c>
      <c r="I29" s="126">
        <f t="shared" si="4"/>
        <v>0</v>
      </c>
      <c r="J29" s="122" t="str">
        <f t="shared" si="5"/>
        <v>Não</v>
      </c>
      <c r="K29" s="123">
        <f t="shared" si="6"/>
        <v>0</v>
      </c>
      <c r="L29" s="109"/>
      <c r="M29" s="124"/>
      <c r="N29" s="109"/>
      <c r="O29" s="109"/>
      <c r="P29" s="109"/>
      <c r="Q29" s="109"/>
      <c r="R29" s="109"/>
      <c r="S29" s="109"/>
      <c r="T29" s="109"/>
      <c r="U29" s="109"/>
      <c r="V29" s="62"/>
      <c r="W29" s="62"/>
      <c r="X29" s="62"/>
      <c r="Y29" s="62"/>
      <c r="Z29" s="62"/>
    </row>
    <row r="30" spans="1:26" ht="12.75" customHeight="1" x14ac:dyDescent="0.2">
      <c r="A30" s="109"/>
      <c r="B30" s="119"/>
      <c r="C30" s="120"/>
      <c r="D30" s="120"/>
      <c r="E30" s="121"/>
      <c r="F30" s="120"/>
      <c r="G30" s="120"/>
      <c r="H30" s="120"/>
      <c r="I30" s="120"/>
      <c r="J30" s="120"/>
      <c r="K30" s="127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62"/>
      <c r="W30" s="62"/>
      <c r="X30" s="62"/>
      <c r="Y30" s="62"/>
      <c r="Z30" s="62"/>
    </row>
    <row r="31" spans="1:26" ht="12.75" customHeight="1" x14ac:dyDescent="0.2">
      <c r="A31" s="109"/>
      <c r="B31" s="119"/>
      <c r="C31" s="128">
        <f t="shared" ref="C31:F31" si="9">SUM(C10:C29)</f>
        <v>134999998499.85001</v>
      </c>
      <c r="D31" s="128">
        <f t="shared" si="9"/>
        <v>134999998499.85001</v>
      </c>
      <c r="E31" s="128">
        <f t="shared" si="9"/>
        <v>899999989999</v>
      </c>
      <c r="F31" s="128">
        <f t="shared" si="9"/>
        <v>1034999988498.8501</v>
      </c>
      <c r="G31" s="121"/>
      <c r="H31" s="120"/>
      <c r="I31" s="120"/>
      <c r="J31" s="120"/>
      <c r="K31" s="127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62"/>
      <c r="W31" s="62"/>
      <c r="X31" s="62"/>
      <c r="Y31" s="62"/>
      <c r="Z31" s="62"/>
    </row>
    <row r="32" spans="1:26" ht="12.75" customHeight="1" x14ac:dyDescent="0.2">
      <c r="A32" s="109"/>
      <c r="B32" s="129"/>
      <c r="C32" s="130"/>
      <c r="D32" s="130"/>
      <c r="E32" s="130"/>
      <c r="F32" s="130"/>
      <c r="G32" s="130"/>
      <c r="H32" s="130"/>
      <c r="I32" s="130"/>
      <c r="J32" s="130"/>
      <c r="K32" s="131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62"/>
      <c r="W32" s="62"/>
      <c r="X32" s="62"/>
      <c r="Y32" s="62"/>
      <c r="Z32" s="62"/>
    </row>
    <row r="33" spans="1:26" ht="12.75" customHeight="1" x14ac:dyDescent="0.2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62"/>
      <c r="W33" s="62"/>
      <c r="X33" s="62"/>
      <c r="Y33" s="62"/>
      <c r="Z33" s="62"/>
    </row>
    <row r="34" spans="1:26" ht="12.75" customHeight="1" x14ac:dyDescent="0.2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62"/>
      <c r="W34" s="62"/>
      <c r="X34" s="62"/>
      <c r="Y34" s="62"/>
      <c r="Z34" s="62"/>
    </row>
    <row r="35" spans="1:26" ht="12.75" customHeight="1" x14ac:dyDescent="0.2">
      <c r="A35" s="109"/>
      <c r="B35" s="109"/>
      <c r="C35" s="109"/>
      <c r="D35" s="136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62"/>
      <c r="W35" s="62"/>
      <c r="X35" s="62"/>
      <c r="Y35" s="62"/>
      <c r="Z35" s="62"/>
    </row>
    <row r="36" spans="1:26" ht="12.75" customHeight="1" x14ac:dyDescent="0.2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62"/>
      <c r="W36" s="62"/>
      <c r="X36" s="62"/>
      <c r="Y36" s="62"/>
      <c r="Z36" s="62"/>
    </row>
    <row r="37" spans="1:26" ht="12.75" customHeight="1" x14ac:dyDescent="0.2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12.75" customHeight="1" x14ac:dyDescent="0.2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12.75" customHeight="1" x14ac:dyDescent="0.2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12.75" customHeight="1" x14ac:dyDescent="0.2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12.75" customHeight="1" x14ac:dyDescent="0.2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12.75" customHeight="1" x14ac:dyDescent="0.2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12.75" customHeight="1" x14ac:dyDescent="0.2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12.75" customHeight="1" x14ac:dyDescent="0.2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12.75" customHeight="1" x14ac:dyDescent="0.2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12.75" customHeight="1" x14ac:dyDescent="0.2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12.75" customHeight="1" x14ac:dyDescent="0.2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12.75" customHeight="1" x14ac:dyDescent="0.2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12.75" customHeight="1" x14ac:dyDescent="0.2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12.75" customHeight="1" x14ac:dyDescent="0.2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12.75" customHeight="1" x14ac:dyDescent="0.2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12.75" customHeight="1" x14ac:dyDescent="0.2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12.75" customHeight="1" x14ac:dyDescent="0.2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12.75" customHeight="1" x14ac:dyDescent="0.2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12.75" customHeight="1" x14ac:dyDescent="0.2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12.75" customHeight="1" x14ac:dyDescent="0.2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12.75" customHeight="1" x14ac:dyDescent="0.2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12.75" customHeight="1" x14ac:dyDescent="0.2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12.75" customHeight="1" x14ac:dyDescent="0.2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12.75" customHeight="1" x14ac:dyDescent="0.2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12.75" customHeight="1" x14ac:dyDescent="0.2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12.75" customHeight="1" x14ac:dyDescent="0.2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12.75" customHeight="1" x14ac:dyDescent="0.2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12.75" customHeight="1" x14ac:dyDescent="0.2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12.75" customHeight="1" x14ac:dyDescent="0.2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12.75" customHeight="1" x14ac:dyDescent="0.2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12.75" customHeight="1" x14ac:dyDescent="0.2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12.75" customHeight="1" x14ac:dyDescent="0.2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12.75" customHeight="1" x14ac:dyDescent="0.2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12.75" customHeight="1" x14ac:dyDescent="0.2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12.75" customHeight="1" x14ac:dyDescent="0.2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12.75" customHeight="1" x14ac:dyDescent="0.2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12.75" customHeight="1" x14ac:dyDescent="0.2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12.75" customHeight="1" x14ac:dyDescent="0.2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12.75" customHeight="1" x14ac:dyDescent="0.2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12.75" customHeight="1" x14ac:dyDescent="0.2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12.75" customHeight="1" x14ac:dyDescent="0.2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12.75" customHeight="1" x14ac:dyDescent="0.2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12.75" customHeight="1" x14ac:dyDescent="0.2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12.75" customHeight="1" x14ac:dyDescent="0.2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12.75" customHeight="1" x14ac:dyDescent="0.2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12.75" customHeight="1" x14ac:dyDescent="0.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12.75" customHeight="1" x14ac:dyDescent="0.2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12.75" customHeight="1" x14ac:dyDescent="0.2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12.75" customHeight="1" x14ac:dyDescent="0.2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12.75" customHeight="1" x14ac:dyDescent="0.2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12.75" customHeight="1" x14ac:dyDescent="0.2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12.75" customHeight="1" x14ac:dyDescent="0.2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12.75" customHeight="1" x14ac:dyDescent="0.2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12.75" customHeight="1" x14ac:dyDescent="0.2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12.75" customHeight="1" x14ac:dyDescent="0.2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12.75" customHeight="1" x14ac:dyDescent="0.2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12.75" customHeight="1" x14ac:dyDescent="0.2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12.75" customHeight="1" x14ac:dyDescent="0.2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12.75" customHeight="1" x14ac:dyDescent="0.2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12.75" customHeight="1" x14ac:dyDescent="0.2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12.75" customHeight="1" x14ac:dyDescent="0.2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12.75" customHeight="1" x14ac:dyDescent="0.2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12.75" customHeight="1" x14ac:dyDescent="0.2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12.75" customHeight="1" x14ac:dyDescent="0.2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12.75" customHeight="1" x14ac:dyDescent="0.2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12.75" customHeight="1" x14ac:dyDescent="0.2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12.75" customHeight="1" x14ac:dyDescent="0.2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12.75" customHeight="1" x14ac:dyDescent="0.2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12.75" customHeight="1" x14ac:dyDescent="0.2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12.75" customHeight="1" x14ac:dyDescent="0.2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12.75" customHeight="1" x14ac:dyDescent="0.2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12.75" customHeight="1" x14ac:dyDescent="0.2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12.75" customHeight="1" x14ac:dyDescent="0.2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12.75" customHeight="1" x14ac:dyDescent="0.2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12.75" customHeight="1" x14ac:dyDescent="0.2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12.75" customHeight="1" x14ac:dyDescent="0.2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12.75" customHeight="1" x14ac:dyDescent="0.2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12.75" customHeight="1" x14ac:dyDescent="0.2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12.75" customHeight="1" x14ac:dyDescent="0.2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12.75" customHeight="1" x14ac:dyDescent="0.2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12.75" customHeight="1" x14ac:dyDescent="0.2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12.75" customHeight="1" x14ac:dyDescent="0.2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12.75" customHeight="1" x14ac:dyDescent="0.2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12.75" customHeight="1" x14ac:dyDescent="0.2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12.75" customHeight="1" x14ac:dyDescent="0.2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12.75" customHeight="1" x14ac:dyDescent="0.2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12.75" customHeight="1" x14ac:dyDescent="0.2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12.75" customHeight="1" x14ac:dyDescent="0.2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12.75" customHeight="1" x14ac:dyDescent="0.2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12.75" customHeight="1" x14ac:dyDescent="0.2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12.75" customHeight="1" x14ac:dyDescent="0.2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12.75" customHeight="1" x14ac:dyDescent="0.2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12.75" customHeight="1" x14ac:dyDescent="0.2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12.75" customHeight="1" x14ac:dyDescent="0.2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12.75" customHeight="1" x14ac:dyDescent="0.2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12.75" customHeight="1" x14ac:dyDescent="0.2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12.75" customHeight="1" x14ac:dyDescent="0.2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12.75" customHeight="1" x14ac:dyDescent="0.2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12.75" customHeight="1" x14ac:dyDescent="0.2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12.75" customHeight="1" x14ac:dyDescent="0.2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12.75" customHeight="1" x14ac:dyDescent="0.2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12.75" customHeight="1" x14ac:dyDescent="0.2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12.75" customHeight="1" x14ac:dyDescent="0.2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12.75" customHeight="1" x14ac:dyDescent="0.2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12.75" customHeight="1" x14ac:dyDescent="0.2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12.75" customHeight="1" x14ac:dyDescent="0.2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12.75" customHeight="1" x14ac:dyDescent="0.2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12.75" customHeight="1" x14ac:dyDescent="0.2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12.75" customHeight="1" x14ac:dyDescent="0.2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12.75" customHeight="1" x14ac:dyDescent="0.2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12.75" customHeight="1" x14ac:dyDescent="0.2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12.75" customHeight="1" x14ac:dyDescent="0.2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12.75" customHeight="1" x14ac:dyDescent="0.2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12.75" customHeight="1" x14ac:dyDescent="0.2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12.75" customHeight="1" x14ac:dyDescent="0.2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12.75" customHeight="1" x14ac:dyDescent="0.2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12.75" customHeight="1" x14ac:dyDescent="0.2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12.75" customHeight="1" x14ac:dyDescent="0.2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12.75" customHeight="1" x14ac:dyDescent="0.2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12.75" customHeight="1" x14ac:dyDescent="0.2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12.75" customHeight="1" x14ac:dyDescent="0.2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12.75" customHeight="1" x14ac:dyDescent="0.2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12.75" customHeight="1" x14ac:dyDescent="0.2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12.75" customHeight="1" x14ac:dyDescent="0.2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12.7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12.7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12.75" customHeight="1" x14ac:dyDescent="0.2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12.75" customHeight="1" x14ac:dyDescent="0.2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12.75" customHeight="1" x14ac:dyDescent="0.2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12.75" customHeight="1" x14ac:dyDescent="0.2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12.75" customHeight="1" x14ac:dyDescent="0.2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12.75" customHeight="1" x14ac:dyDescent="0.2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12.75" customHeight="1" x14ac:dyDescent="0.2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12.75" customHeight="1" x14ac:dyDescent="0.2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12.75" customHeight="1" x14ac:dyDescent="0.2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12.75" customHeight="1" x14ac:dyDescent="0.2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12.75" customHeight="1" x14ac:dyDescent="0.2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12.75" customHeight="1" x14ac:dyDescent="0.2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12.75" customHeight="1" x14ac:dyDescent="0.2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12.75" customHeight="1" x14ac:dyDescent="0.2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12.75" customHeight="1" x14ac:dyDescent="0.2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12.75" customHeight="1" x14ac:dyDescent="0.2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12.75" customHeight="1" x14ac:dyDescent="0.2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12.75" customHeight="1" x14ac:dyDescent="0.2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12.75" customHeight="1" x14ac:dyDescent="0.2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12.75" customHeight="1" x14ac:dyDescent="0.2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12.75" customHeight="1" x14ac:dyDescent="0.2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12.75" customHeight="1" x14ac:dyDescent="0.2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12.75" customHeight="1" x14ac:dyDescent="0.2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12.7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12.75" customHeight="1" x14ac:dyDescent="0.2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12.75" customHeight="1" x14ac:dyDescent="0.2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12.75" customHeight="1" x14ac:dyDescent="0.2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12.75" customHeight="1" x14ac:dyDescent="0.2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12.75" customHeight="1" x14ac:dyDescent="0.2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12.75" customHeight="1" x14ac:dyDescent="0.2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12.75" customHeight="1" x14ac:dyDescent="0.2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12.75" customHeight="1" x14ac:dyDescent="0.2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12.75" customHeight="1" x14ac:dyDescent="0.2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12.75" customHeight="1" x14ac:dyDescent="0.2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12.75" customHeight="1" x14ac:dyDescent="0.2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12.75" customHeight="1" x14ac:dyDescent="0.2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12.75" customHeight="1" x14ac:dyDescent="0.2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12.75" customHeight="1" x14ac:dyDescent="0.2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12.75" customHeight="1" x14ac:dyDescent="0.2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12.75" customHeight="1" x14ac:dyDescent="0.2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12.75" customHeight="1" x14ac:dyDescent="0.2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12.75" customHeight="1" x14ac:dyDescent="0.2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12.75" customHeight="1" x14ac:dyDescent="0.2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12.75" customHeight="1" x14ac:dyDescent="0.2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12.75" customHeight="1" x14ac:dyDescent="0.2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12.75" customHeight="1" x14ac:dyDescent="0.2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12.75" customHeight="1" x14ac:dyDescent="0.2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12.75" customHeight="1" x14ac:dyDescent="0.2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12.75" customHeight="1" x14ac:dyDescent="0.2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12.75" customHeight="1" x14ac:dyDescent="0.2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12.75" customHeight="1" x14ac:dyDescent="0.2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12.75" customHeight="1" x14ac:dyDescent="0.2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12.75" customHeight="1" x14ac:dyDescent="0.2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12.75" customHeight="1" x14ac:dyDescent="0.2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12.75" customHeight="1" x14ac:dyDescent="0.2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12.7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12.75" customHeight="1" x14ac:dyDescent="0.2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12.75" customHeight="1" x14ac:dyDescent="0.2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12.75" customHeight="1" x14ac:dyDescent="0.2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12.75" customHeight="1" x14ac:dyDescent="0.2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12.75" customHeight="1" x14ac:dyDescent="0.2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12.75" customHeight="1" x14ac:dyDescent="0.2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12.75" customHeight="1" x14ac:dyDescent="0.2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12.75" customHeight="1" x14ac:dyDescent="0.2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12.75" customHeight="1" x14ac:dyDescent="0.2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12.75" customHeight="1" x14ac:dyDescent="0.2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12.75" customHeight="1" x14ac:dyDescent="0.2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12.75" customHeight="1" x14ac:dyDescent="0.2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12.75" customHeight="1" x14ac:dyDescent="0.2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12.75" customHeight="1" x14ac:dyDescent="0.2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12.75" customHeight="1" x14ac:dyDescent="0.2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12.7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12.75" customHeight="1" x14ac:dyDescent="0.2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12.75" customHeight="1" x14ac:dyDescent="0.2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12.75" customHeight="1" x14ac:dyDescent="0.2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12.75" customHeight="1" x14ac:dyDescent="0.2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12.75" customHeight="1" x14ac:dyDescent="0.2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12.75" customHeight="1" x14ac:dyDescent="0.2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12.75" customHeight="1" x14ac:dyDescent="0.2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12.75" customHeight="1" x14ac:dyDescent="0.2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12.75" customHeight="1" x14ac:dyDescent="0.2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12.75" customHeight="1" x14ac:dyDescent="0.2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12.75" customHeight="1" x14ac:dyDescent="0.2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12.75" customHeight="1" x14ac:dyDescent="0.2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12.75" customHeight="1" x14ac:dyDescent="0.2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12.75" customHeight="1" x14ac:dyDescent="0.2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12.75" customHeight="1" x14ac:dyDescent="0.2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12.7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12.75" customHeight="1" x14ac:dyDescent="0.2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12.75" customHeight="1" x14ac:dyDescent="0.2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12.75" customHeight="1" x14ac:dyDescent="0.2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12.75" customHeight="1" x14ac:dyDescent="0.2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12.75" customHeight="1" x14ac:dyDescent="0.2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12.75" customHeight="1" x14ac:dyDescent="0.2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12.75" customHeight="1" x14ac:dyDescent="0.2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12.75" customHeight="1" x14ac:dyDescent="0.2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12.75" customHeight="1" x14ac:dyDescent="0.2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12.75" customHeight="1" x14ac:dyDescent="0.2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12.75" customHeight="1" x14ac:dyDescent="0.2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12.75" customHeight="1" x14ac:dyDescent="0.2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12.75" customHeight="1" x14ac:dyDescent="0.2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12.75" customHeight="1" x14ac:dyDescent="0.2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12.75" customHeight="1" x14ac:dyDescent="0.2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12.75" customHeight="1" x14ac:dyDescent="0.2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12.75" customHeight="1" x14ac:dyDescent="0.2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12.75" customHeight="1" x14ac:dyDescent="0.2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12.75" customHeight="1" x14ac:dyDescent="0.2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12.75" customHeight="1" x14ac:dyDescent="0.2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12.75" customHeight="1" x14ac:dyDescent="0.2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12.75" customHeight="1" x14ac:dyDescent="0.2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12.75" customHeight="1" x14ac:dyDescent="0.2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12.75" customHeight="1" x14ac:dyDescent="0.2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12.75" customHeight="1" x14ac:dyDescent="0.2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12.75" customHeight="1" x14ac:dyDescent="0.2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12.75" customHeight="1" x14ac:dyDescent="0.2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12.75" customHeight="1" x14ac:dyDescent="0.2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12.75" customHeight="1" x14ac:dyDescent="0.2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12.75" customHeight="1" x14ac:dyDescent="0.2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12.7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12.7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12.7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12.7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12.75" customHeight="1" x14ac:dyDescent="0.2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12.75" customHeight="1" x14ac:dyDescent="0.2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12.75" customHeight="1" x14ac:dyDescent="0.2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12.75" customHeight="1" x14ac:dyDescent="0.2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12.75" customHeight="1" x14ac:dyDescent="0.2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12.75" customHeight="1" x14ac:dyDescent="0.2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12.7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12.7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12.75" customHeight="1" x14ac:dyDescent="0.2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12.75" customHeight="1" x14ac:dyDescent="0.2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12.75" customHeight="1" x14ac:dyDescent="0.2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2.75" customHeight="1" x14ac:dyDescent="0.2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12.75" customHeight="1" x14ac:dyDescent="0.2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12.75" customHeight="1" x14ac:dyDescent="0.2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12.75" customHeight="1" x14ac:dyDescent="0.2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12.75" customHeight="1" x14ac:dyDescent="0.2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12.75" customHeight="1" x14ac:dyDescent="0.2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12.75" customHeight="1" x14ac:dyDescent="0.2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12.75" customHeight="1" x14ac:dyDescent="0.2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12.75" customHeight="1" x14ac:dyDescent="0.2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12.75" customHeight="1" x14ac:dyDescent="0.2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12.75" customHeight="1" x14ac:dyDescent="0.2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12.75" customHeight="1" x14ac:dyDescent="0.2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12.75" customHeight="1" x14ac:dyDescent="0.2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12.75" customHeight="1" x14ac:dyDescent="0.2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12.75" customHeight="1" x14ac:dyDescent="0.2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12.75" customHeight="1" x14ac:dyDescent="0.2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12.75" customHeight="1" x14ac:dyDescent="0.2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12.75" customHeight="1" x14ac:dyDescent="0.2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12.75" customHeight="1" x14ac:dyDescent="0.2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12.75" customHeight="1" x14ac:dyDescent="0.2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12.75" customHeight="1" x14ac:dyDescent="0.2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2.75" customHeight="1" x14ac:dyDescent="0.2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12.75" customHeight="1" x14ac:dyDescent="0.2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12.75" customHeight="1" x14ac:dyDescent="0.2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12.75" customHeight="1" x14ac:dyDescent="0.2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12.75" customHeight="1" x14ac:dyDescent="0.2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12.75" customHeight="1" x14ac:dyDescent="0.2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12.75" customHeight="1" x14ac:dyDescent="0.2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12.75" customHeight="1" x14ac:dyDescent="0.2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12.75" customHeight="1" x14ac:dyDescent="0.2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12.75" customHeight="1" x14ac:dyDescent="0.2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12.75" customHeight="1" x14ac:dyDescent="0.2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12.75" customHeight="1" x14ac:dyDescent="0.2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12.75" customHeight="1" x14ac:dyDescent="0.2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12.75" customHeight="1" x14ac:dyDescent="0.2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12.75" customHeight="1" x14ac:dyDescent="0.2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12.75" customHeight="1" x14ac:dyDescent="0.2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12.75" customHeight="1" x14ac:dyDescent="0.2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12.75" customHeight="1" x14ac:dyDescent="0.2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12.75" customHeight="1" x14ac:dyDescent="0.2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12.75" customHeight="1" x14ac:dyDescent="0.2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12.75" customHeight="1" x14ac:dyDescent="0.2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2.75" customHeight="1" x14ac:dyDescent="0.2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12.75" customHeight="1" x14ac:dyDescent="0.2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12.75" customHeight="1" x14ac:dyDescent="0.2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12.75" customHeight="1" x14ac:dyDescent="0.2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12.75" customHeight="1" x14ac:dyDescent="0.2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12.75" customHeight="1" x14ac:dyDescent="0.2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12.75" customHeight="1" x14ac:dyDescent="0.2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12.75" customHeight="1" x14ac:dyDescent="0.2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12.75" customHeight="1" x14ac:dyDescent="0.2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12.75" customHeight="1" x14ac:dyDescent="0.2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12.75" customHeight="1" x14ac:dyDescent="0.2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12.75" customHeight="1" x14ac:dyDescent="0.2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12.75" customHeight="1" x14ac:dyDescent="0.2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12.75" customHeight="1" x14ac:dyDescent="0.2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12.75" customHeight="1" x14ac:dyDescent="0.2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12.75" customHeight="1" x14ac:dyDescent="0.2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12.75" customHeight="1" x14ac:dyDescent="0.2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12.75" customHeight="1" x14ac:dyDescent="0.2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12.75" customHeight="1" x14ac:dyDescent="0.2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12.75" customHeight="1" x14ac:dyDescent="0.2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12.75" customHeight="1" x14ac:dyDescent="0.2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2.75" customHeight="1" x14ac:dyDescent="0.2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12.75" customHeight="1" x14ac:dyDescent="0.2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12.75" customHeight="1" x14ac:dyDescent="0.2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12.75" customHeight="1" x14ac:dyDescent="0.2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12.75" customHeight="1" x14ac:dyDescent="0.2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12.75" customHeight="1" x14ac:dyDescent="0.2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12.75" customHeight="1" x14ac:dyDescent="0.2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12.75" customHeight="1" x14ac:dyDescent="0.2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12.75" customHeight="1" x14ac:dyDescent="0.2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12.75" customHeight="1" x14ac:dyDescent="0.2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12.75" customHeight="1" x14ac:dyDescent="0.2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12.75" customHeight="1" x14ac:dyDescent="0.2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12.75" customHeight="1" x14ac:dyDescent="0.2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12.75" customHeight="1" x14ac:dyDescent="0.2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12.75" customHeight="1" x14ac:dyDescent="0.2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12.75" customHeight="1" x14ac:dyDescent="0.2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12.75" customHeight="1" x14ac:dyDescent="0.2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12.75" customHeight="1" x14ac:dyDescent="0.2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12.75" customHeight="1" x14ac:dyDescent="0.2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12.75" customHeight="1" x14ac:dyDescent="0.2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12.75" customHeight="1" x14ac:dyDescent="0.2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2.75" customHeight="1" x14ac:dyDescent="0.2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12.75" customHeight="1" x14ac:dyDescent="0.2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12.75" customHeight="1" x14ac:dyDescent="0.2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12.75" customHeight="1" x14ac:dyDescent="0.2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12.75" customHeight="1" x14ac:dyDescent="0.2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12.75" customHeight="1" x14ac:dyDescent="0.2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12.75" customHeight="1" x14ac:dyDescent="0.2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12.75" customHeight="1" x14ac:dyDescent="0.2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12.75" customHeight="1" x14ac:dyDescent="0.2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12.75" customHeight="1" x14ac:dyDescent="0.2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12.75" customHeight="1" x14ac:dyDescent="0.2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12.75" customHeight="1" x14ac:dyDescent="0.2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12.75" customHeight="1" x14ac:dyDescent="0.2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12.75" customHeight="1" x14ac:dyDescent="0.2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12.75" customHeight="1" x14ac:dyDescent="0.2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12.75" customHeight="1" x14ac:dyDescent="0.2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12.75" customHeight="1" x14ac:dyDescent="0.2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12.75" customHeight="1" x14ac:dyDescent="0.2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12.75" customHeight="1" x14ac:dyDescent="0.2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12.75" customHeight="1" x14ac:dyDescent="0.2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12.75" customHeight="1" x14ac:dyDescent="0.2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2.75" customHeight="1" x14ac:dyDescent="0.2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12.75" customHeight="1" x14ac:dyDescent="0.2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12.75" customHeight="1" x14ac:dyDescent="0.2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12.75" customHeight="1" x14ac:dyDescent="0.2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12.75" customHeight="1" x14ac:dyDescent="0.2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12.75" customHeight="1" x14ac:dyDescent="0.2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12.75" customHeight="1" x14ac:dyDescent="0.2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12.75" customHeight="1" x14ac:dyDescent="0.2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12.75" customHeight="1" x14ac:dyDescent="0.2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12.75" customHeight="1" x14ac:dyDescent="0.2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12.75" customHeight="1" x14ac:dyDescent="0.2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12.75" customHeight="1" x14ac:dyDescent="0.2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12.75" customHeight="1" x14ac:dyDescent="0.2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12.75" customHeight="1" x14ac:dyDescent="0.2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12.75" customHeight="1" x14ac:dyDescent="0.2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12.75" customHeight="1" x14ac:dyDescent="0.2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12.75" customHeight="1" x14ac:dyDescent="0.2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12.75" customHeight="1" x14ac:dyDescent="0.2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12.75" customHeight="1" x14ac:dyDescent="0.2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12.75" customHeight="1" x14ac:dyDescent="0.2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12.75" customHeight="1" x14ac:dyDescent="0.2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2.75" customHeight="1" x14ac:dyDescent="0.2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12.75" customHeight="1" x14ac:dyDescent="0.2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12.75" customHeight="1" x14ac:dyDescent="0.2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12.75" customHeight="1" x14ac:dyDescent="0.2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12.75" customHeight="1" x14ac:dyDescent="0.2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12.75" customHeight="1" x14ac:dyDescent="0.2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12.75" customHeight="1" x14ac:dyDescent="0.2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12.75" customHeight="1" x14ac:dyDescent="0.2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12.75" customHeight="1" x14ac:dyDescent="0.2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12.75" customHeight="1" x14ac:dyDescent="0.2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12.75" customHeight="1" x14ac:dyDescent="0.2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12.75" customHeight="1" x14ac:dyDescent="0.2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12.75" customHeight="1" x14ac:dyDescent="0.2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12.75" customHeight="1" x14ac:dyDescent="0.2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12.75" customHeight="1" x14ac:dyDescent="0.2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12.75" customHeight="1" x14ac:dyDescent="0.2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12.75" customHeight="1" x14ac:dyDescent="0.2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12.75" customHeight="1" x14ac:dyDescent="0.2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12.75" customHeight="1" x14ac:dyDescent="0.2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12.75" customHeight="1" x14ac:dyDescent="0.2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12.75" customHeight="1" x14ac:dyDescent="0.2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2.75" customHeight="1" x14ac:dyDescent="0.2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12.75" customHeight="1" x14ac:dyDescent="0.2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12.75" customHeight="1" x14ac:dyDescent="0.2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12.75" customHeight="1" x14ac:dyDescent="0.2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12.75" customHeight="1" x14ac:dyDescent="0.2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12.75" customHeight="1" x14ac:dyDescent="0.2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12.75" customHeight="1" x14ac:dyDescent="0.2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12.75" customHeight="1" x14ac:dyDescent="0.2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12.75" customHeight="1" x14ac:dyDescent="0.2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12.75" customHeight="1" x14ac:dyDescent="0.2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12.75" customHeight="1" x14ac:dyDescent="0.2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12.75" customHeight="1" x14ac:dyDescent="0.2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12.75" customHeight="1" x14ac:dyDescent="0.2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12.75" customHeight="1" x14ac:dyDescent="0.2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12.75" customHeight="1" x14ac:dyDescent="0.2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12.75" customHeight="1" x14ac:dyDescent="0.2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12.75" customHeight="1" x14ac:dyDescent="0.2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12.75" customHeight="1" x14ac:dyDescent="0.2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12.75" customHeight="1" x14ac:dyDescent="0.2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12.75" customHeight="1" x14ac:dyDescent="0.2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12.75" customHeight="1" x14ac:dyDescent="0.2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2.75" customHeight="1" x14ac:dyDescent="0.2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12.75" customHeight="1" x14ac:dyDescent="0.2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12.75" customHeight="1" x14ac:dyDescent="0.2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12.75" customHeight="1" x14ac:dyDescent="0.2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12.75" customHeight="1" x14ac:dyDescent="0.2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12.75" customHeight="1" x14ac:dyDescent="0.2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12.75" customHeight="1" x14ac:dyDescent="0.2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12.75" customHeight="1" x14ac:dyDescent="0.2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12.75" customHeight="1" x14ac:dyDescent="0.2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12.75" customHeight="1" x14ac:dyDescent="0.2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12.75" customHeight="1" x14ac:dyDescent="0.2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12.75" customHeight="1" x14ac:dyDescent="0.2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12.75" customHeight="1" x14ac:dyDescent="0.2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12.75" customHeight="1" x14ac:dyDescent="0.2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12.75" customHeight="1" x14ac:dyDescent="0.2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12.75" customHeight="1" x14ac:dyDescent="0.2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12.75" customHeight="1" x14ac:dyDescent="0.2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12.75" customHeight="1" x14ac:dyDescent="0.2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12.75" customHeight="1" x14ac:dyDescent="0.2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12.75" customHeight="1" x14ac:dyDescent="0.2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12.75" customHeight="1" x14ac:dyDescent="0.2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2.75" customHeight="1" x14ac:dyDescent="0.2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12.75" customHeight="1" x14ac:dyDescent="0.2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12.75" customHeight="1" x14ac:dyDescent="0.2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12.75" customHeight="1" x14ac:dyDescent="0.2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12.75" customHeight="1" x14ac:dyDescent="0.2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12.75" customHeight="1" x14ac:dyDescent="0.2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12.75" customHeight="1" x14ac:dyDescent="0.2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12.75" customHeight="1" x14ac:dyDescent="0.2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12.75" customHeight="1" x14ac:dyDescent="0.2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12.75" customHeight="1" x14ac:dyDescent="0.2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12.75" customHeight="1" x14ac:dyDescent="0.2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12.75" customHeight="1" x14ac:dyDescent="0.2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12.75" customHeight="1" x14ac:dyDescent="0.2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12.75" customHeight="1" x14ac:dyDescent="0.2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12.75" customHeight="1" x14ac:dyDescent="0.2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12.75" customHeight="1" x14ac:dyDescent="0.2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12.75" customHeight="1" x14ac:dyDescent="0.2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12.75" customHeight="1" x14ac:dyDescent="0.2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12.75" customHeight="1" x14ac:dyDescent="0.2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12.75" customHeight="1" x14ac:dyDescent="0.2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12.75" customHeight="1" x14ac:dyDescent="0.2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2.75" customHeight="1" x14ac:dyDescent="0.2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12.75" customHeight="1" x14ac:dyDescent="0.2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12.75" customHeight="1" x14ac:dyDescent="0.2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12.75" customHeight="1" x14ac:dyDescent="0.2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12.75" customHeight="1" x14ac:dyDescent="0.2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12.75" customHeight="1" x14ac:dyDescent="0.2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12.75" customHeight="1" x14ac:dyDescent="0.2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12.75" customHeight="1" x14ac:dyDescent="0.2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12.75" customHeight="1" x14ac:dyDescent="0.2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12.75" customHeight="1" x14ac:dyDescent="0.2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12.75" customHeight="1" x14ac:dyDescent="0.2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12.75" customHeight="1" x14ac:dyDescent="0.2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12.75" customHeight="1" x14ac:dyDescent="0.2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12.75" customHeight="1" x14ac:dyDescent="0.2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12.75" customHeight="1" x14ac:dyDescent="0.2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12.75" customHeight="1" x14ac:dyDescent="0.2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12.75" customHeight="1" x14ac:dyDescent="0.2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12.75" customHeight="1" x14ac:dyDescent="0.2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12.75" customHeight="1" x14ac:dyDescent="0.2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12.75" customHeight="1" x14ac:dyDescent="0.2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12.75" customHeight="1" x14ac:dyDescent="0.2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2.75" customHeight="1" x14ac:dyDescent="0.2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12.75" customHeight="1" x14ac:dyDescent="0.2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12.75" customHeight="1" x14ac:dyDescent="0.2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12.75" customHeight="1" x14ac:dyDescent="0.2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12.75" customHeight="1" x14ac:dyDescent="0.2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12.75" customHeight="1" x14ac:dyDescent="0.2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12.75" customHeight="1" x14ac:dyDescent="0.2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12.75" customHeight="1" x14ac:dyDescent="0.2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12.75" customHeight="1" x14ac:dyDescent="0.2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12.75" customHeight="1" x14ac:dyDescent="0.2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12.75" customHeight="1" x14ac:dyDescent="0.2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12.75" customHeight="1" x14ac:dyDescent="0.2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12.75" customHeight="1" x14ac:dyDescent="0.2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12.75" customHeight="1" x14ac:dyDescent="0.2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12.75" customHeight="1" x14ac:dyDescent="0.2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12.75" customHeight="1" x14ac:dyDescent="0.2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12.75" customHeight="1" x14ac:dyDescent="0.2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12.75" customHeight="1" x14ac:dyDescent="0.2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12.75" customHeight="1" x14ac:dyDescent="0.2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12.75" customHeight="1" x14ac:dyDescent="0.2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12.75" customHeight="1" x14ac:dyDescent="0.2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2.75" customHeight="1" x14ac:dyDescent="0.2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12.75" customHeight="1" x14ac:dyDescent="0.2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12.75" customHeight="1" x14ac:dyDescent="0.2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12.75" customHeight="1" x14ac:dyDescent="0.2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12.75" customHeight="1" x14ac:dyDescent="0.2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12.75" customHeight="1" x14ac:dyDescent="0.2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12.75" customHeight="1" x14ac:dyDescent="0.2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12.75" customHeight="1" x14ac:dyDescent="0.2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12.75" customHeight="1" x14ac:dyDescent="0.2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12.75" customHeight="1" x14ac:dyDescent="0.2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12.75" customHeight="1" x14ac:dyDescent="0.2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12.75" customHeight="1" x14ac:dyDescent="0.2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12.75" customHeight="1" x14ac:dyDescent="0.2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12.75" customHeight="1" x14ac:dyDescent="0.2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12.75" customHeight="1" x14ac:dyDescent="0.2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12.75" customHeight="1" x14ac:dyDescent="0.2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12.75" customHeight="1" x14ac:dyDescent="0.2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12.75" customHeight="1" x14ac:dyDescent="0.2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12.75" customHeight="1" x14ac:dyDescent="0.2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12.75" customHeight="1" x14ac:dyDescent="0.2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12.75" customHeight="1" x14ac:dyDescent="0.2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2.75" customHeight="1" x14ac:dyDescent="0.2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12.75" customHeight="1" x14ac:dyDescent="0.2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12.75" customHeight="1" x14ac:dyDescent="0.2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12.75" customHeight="1" x14ac:dyDescent="0.2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12.75" customHeight="1" x14ac:dyDescent="0.2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12.75" customHeight="1" x14ac:dyDescent="0.2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12.75" customHeight="1" x14ac:dyDescent="0.2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12.75" customHeight="1" x14ac:dyDescent="0.2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12.75" customHeight="1" x14ac:dyDescent="0.2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12.75" customHeight="1" x14ac:dyDescent="0.2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12.75" customHeight="1" x14ac:dyDescent="0.2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12.75" customHeight="1" x14ac:dyDescent="0.2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12.75" customHeight="1" x14ac:dyDescent="0.2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12.75" customHeight="1" x14ac:dyDescent="0.2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12.75" customHeight="1" x14ac:dyDescent="0.2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12.75" customHeight="1" x14ac:dyDescent="0.2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12.75" customHeight="1" x14ac:dyDescent="0.2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12.75" customHeight="1" x14ac:dyDescent="0.2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12.75" customHeight="1" x14ac:dyDescent="0.2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12.75" customHeight="1" x14ac:dyDescent="0.2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12.75" customHeight="1" x14ac:dyDescent="0.2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2.75" customHeight="1" x14ac:dyDescent="0.2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12.75" customHeight="1" x14ac:dyDescent="0.2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12.75" customHeight="1" x14ac:dyDescent="0.2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12.75" customHeight="1" x14ac:dyDescent="0.2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12.75" customHeight="1" x14ac:dyDescent="0.2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12.75" customHeight="1" x14ac:dyDescent="0.2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12.75" customHeight="1" x14ac:dyDescent="0.2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12.75" customHeight="1" x14ac:dyDescent="0.2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12.75" customHeight="1" x14ac:dyDescent="0.2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12.75" customHeight="1" x14ac:dyDescent="0.2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12.75" customHeight="1" x14ac:dyDescent="0.2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12.75" customHeight="1" x14ac:dyDescent="0.2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12.75" customHeight="1" x14ac:dyDescent="0.2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12.75" customHeight="1" x14ac:dyDescent="0.2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12.75" customHeight="1" x14ac:dyDescent="0.2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12.75" customHeight="1" x14ac:dyDescent="0.2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12.75" customHeight="1" x14ac:dyDescent="0.2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12.75" customHeight="1" x14ac:dyDescent="0.2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12.75" customHeight="1" x14ac:dyDescent="0.2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12.75" customHeight="1" x14ac:dyDescent="0.2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12.75" customHeight="1" x14ac:dyDescent="0.2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2.75" customHeight="1" x14ac:dyDescent="0.2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12.75" customHeight="1" x14ac:dyDescent="0.2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12.75" customHeight="1" x14ac:dyDescent="0.2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12.75" customHeight="1" x14ac:dyDescent="0.2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12.75" customHeight="1" x14ac:dyDescent="0.2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12.75" customHeight="1" x14ac:dyDescent="0.2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12.75" customHeight="1" x14ac:dyDescent="0.2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12.75" customHeight="1" x14ac:dyDescent="0.2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12.75" customHeight="1" x14ac:dyDescent="0.2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12.75" customHeight="1" x14ac:dyDescent="0.2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12.75" customHeight="1" x14ac:dyDescent="0.2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12.75" customHeight="1" x14ac:dyDescent="0.2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12.75" customHeight="1" x14ac:dyDescent="0.2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12.75" customHeight="1" x14ac:dyDescent="0.2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12.75" customHeight="1" x14ac:dyDescent="0.2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12.75" customHeight="1" x14ac:dyDescent="0.2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12.75" customHeight="1" x14ac:dyDescent="0.2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12.75" customHeight="1" x14ac:dyDescent="0.2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12.75" customHeight="1" x14ac:dyDescent="0.2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12.75" customHeight="1" x14ac:dyDescent="0.2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12.75" customHeight="1" x14ac:dyDescent="0.2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2.75" customHeight="1" x14ac:dyDescent="0.2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12.75" customHeight="1" x14ac:dyDescent="0.2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12.75" customHeight="1" x14ac:dyDescent="0.2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12.75" customHeight="1" x14ac:dyDescent="0.2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12.75" customHeight="1" x14ac:dyDescent="0.2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12.75" customHeight="1" x14ac:dyDescent="0.2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12.75" customHeight="1" x14ac:dyDescent="0.2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12.75" customHeight="1" x14ac:dyDescent="0.2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12.75" customHeight="1" x14ac:dyDescent="0.2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12.75" customHeight="1" x14ac:dyDescent="0.2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12.75" customHeight="1" x14ac:dyDescent="0.2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12.75" customHeight="1" x14ac:dyDescent="0.2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12.75" customHeight="1" x14ac:dyDescent="0.2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12.75" customHeight="1" x14ac:dyDescent="0.2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12.75" customHeight="1" x14ac:dyDescent="0.2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12.75" customHeight="1" x14ac:dyDescent="0.2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12.75" customHeight="1" x14ac:dyDescent="0.2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12.75" customHeight="1" x14ac:dyDescent="0.2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12.75" customHeight="1" x14ac:dyDescent="0.2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12.75" customHeight="1" x14ac:dyDescent="0.2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12.75" customHeight="1" x14ac:dyDescent="0.2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12.75" customHeight="1" x14ac:dyDescent="0.2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12.75" customHeight="1" x14ac:dyDescent="0.2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12.75" customHeight="1" x14ac:dyDescent="0.2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12.75" customHeight="1" x14ac:dyDescent="0.2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12.75" customHeight="1" x14ac:dyDescent="0.2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12.75" customHeight="1" x14ac:dyDescent="0.2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12.75" customHeight="1" x14ac:dyDescent="0.2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12.75" customHeight="1" x14ac:dyDescent="0.2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12.75" customHeight="1" x14ac:dyDescent="0.2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12.75" customHeight="1" x14ac:dyDescent="0.2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12.75" customHeight="1" x14ac:dyDescent="0.2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12.75" customHeight="1" x14ac:dyDescent="0.2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12.75" customHeight="1" x14ac:dyDescent="0.2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12.75" customHeight="1" x14ac:dyDescent="0.2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12.75" customHeight="1" x14ac:dyDescent="0.2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12.75" customHeight="1" x14ac:dyDescent="0.2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12.75" customHeight="1" x14ac:dyDescent="0.2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12.75" customHeight="1" x14ac:dyDescent="0.2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12.75" customHeight="1" x14ac:dyDescent="0.2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12.75" customHeight="1" x14ac:dyDescent="0.2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12.75" customHeight="1" x14ac:dyDescent="0.2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12.75" customHeight="1" x14ac:dyDescent="0.2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12.75" customHeight="1" x14ac:dyDescent="0.2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12.75" customHeight="1" x14ac:dyDescent="0.2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12.75" customHeight="1" x14ac:dyDescent="0.2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12.75" customHeight="1" x14ac:dyDescent="0.2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12.75" customHeight="1" x14ac:dyDescent="0.2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12.75" customHeight="1" x14ac:dyDescent="0.2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12.75" customHeight="1" x14ac:dyDescent="0.2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12.75" customHeight="1" x14ac:dyDescent="0.2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12.75" customHeight="1" x14ac:dyDescent="0.2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12.75" customHeight="1" x14ac:dyDescent="0.2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12.75" customHeight="1" x14ac:dyDescent="0.2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12.75" customHeight="1" x14ac:dyDescent="0.2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12.75" customHeight="1" x14ac:dyDescent="0.2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12.75" customHeight="1" x14ac:dyDescent="0.2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12.75" customHeight="1" x14ac:dyDescent="0.2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12.75" customHeight="1" x14ac:dyDescent="0.2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12.75" customHeight="1" x14ac:dyDescent="0.2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12.75" customHeight="1" x14ac:dyDescent="0.2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12.75" customHeight="1" x14ac:dyDescent="0.2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12.75" customHeight="1" x14ac:dyDescent="0.2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12.75" customHeight="1" x14ac:dyDescent="0.2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12.75" customHeight="1" x14ac:dyDescent="0.2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12.75" customHeight="1" x14ac:dyDescent="0.2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12.75" customHeight="1" x14ac:dyDescent="0.2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12.75" customHeight="1" x14ac:dyDescent="0.2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12.75" customHeight="1" x14ac:dyDescent="0.2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12.75" customHeight="1" x14ac:dyDescent="0.2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12.75" customHeight="1" x14ac:dyDescent="0.2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12.75" customHeight="1" x14ac:dyDescent="0.2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12.75" customHeight="1" x14ac:dyDescent="0.2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12.75" customHeight="1" x14ac:dyDescent="0.2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12.75" customHeight="1" x14ac:dyDescent="0.2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12.75" customHeight="1" x14ac:dyDescent="0.2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12.75" customHeight="1" x14ac:dyDescent="0.2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12.75" customHeight="1" x14ac:dyDescent="0.2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12.75" customHeight="1" x14ac:dyDescent="0.2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12.75" customHeight="1" x14ac:dyDescent="0.2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12.75" customHeight="1" x14ac:dyDescent="0.2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12.75" customHeight="1" x14ac:dyDescent="0.2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12.75" customHeight="1" x14ac:dyDescent="0.2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12.75" customHeight="1" x14ac:dyDescent="0.2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12.75" customHeight="1" x14ac:dyDescent="0.2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12.75" customHeight="1" x14ac:dyDescent="0.2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12.75" customHeight="1" x14ac:dyDescent="0.2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12.75" customHeight="1" x14ac:dyDescent="0.2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12.75" customHeight="1" x14ac:dyDescent="0.2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12.75" customHeight="1" x14ac:dyDescent="0.2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12.75" customHeight="1" x14ac:dyDescent="0.2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12.75" customHeight="1" x14ac:dyDescent="0.2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12.75" customHeight="1" x14ac:dyDescent="0.2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12.75" customHeight="1" x14ac:dyDescent="0.2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12.75" customHeight="1" x14ac:dyDescent="0.2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12.75" customHeight="1" x14ac:dyDescent="0.2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12.75" customHeight="1" x14ac:dyDescent="0.2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12.75" customHeight="1" x14ac:dyDescent="0.2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12.75" customHeight="1" x14ac:dyDescent="0.2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12.75" customHeight="1" x14ac:dyDescent="0.2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12.75" customHeight="1" x14ac:dyDescent="0.2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12.75" customHeight="1" x14ac:dyDescent="0.2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12.75" customHeight="1" x14ac:dyDescent="0.2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12.75" customHeight="1" x14ac:dyDescent="0.2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12.75" customHeight="1" x14ac:dyDescent="0.2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12.75" customHeight="1" x14ac:dyDescent="0.2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12.75" customHeight="1" x14ac:dyDescent="0.2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12.75" customHeight="1" x14ac:dyDescent="0.2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12.75" customHeight="1" x14ac:dyDescent="0.2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12.75" customHeight="1" x14ac:dyDescent="0.2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12.75" customHeight="1" x14ac:dyDescent="0.2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12.75" customHeight="1" x14ac:dyDescent="0.2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12.75" customHeight="1" x14ac:dyDescent="0.2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12.75" customHeight="1" x14ac:dyDescent="0.2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12.75" customHeight="1" x14ac:dyDescent="0.2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12.75" customHeight="1" x14ac:dyDescent="0.2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12.75" customHeight="1" x14ac:dyDescent="0.2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12.75" customHeight="1" x14ac:dyDescent="0.2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12.75" customHeight="1" x14ac:dyDescent="0.2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12.75" customHeight="1" x14ac:dyDescent="0.2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12.75" customHeight="1" x14ac:dyDescent="0.2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12.75" customHeight="1" x14ac:dyDescent="0.2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12.75" customHeight="1" x14ac:dyDescent="0.2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12.75" customHeight="1" x14ac:dyDescent="0.2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12.75" customHeight="1" x14ac:dyDescent="0.2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12.75" customHeight="1" x14ac:dyDescent="0.2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12.75" customHeight="1" x14ac:dyDescent="0.2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12.75" customHeight="1" x14ac:dyDescent="0.2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12.75" customHeight="1" x14ac:dyDescent="0.2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12.75" customHeight="1" x14ac:dyDescent="0.2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12.75" customHeight="1" x14ac:dyDescent="0.2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12.75" customHeight="1" x14ac:dyDescent="0.2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12.75" customHeight="1" x14ac:dyDescent="0.2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12.75" customHeight="1" x14ac:dyDescent="0.2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12.75" customHeight="1" x14ac:dyDescent="0.2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12.75" customHeight="1" x14ac:dyDescent="0.2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12.75" customHeight="1" x14ac:dyDescent="0.2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12.75" customHeight="1" x14ac:dyDescent="0.2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12.75" customHeight="1" x14ac:dyDescent="0.2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12.75" customHeight="1" x14ac:dyDescent="0.2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12.75" customHeight="1" x14ac:dyDescent="0.2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12.75" customHeight="1" x14ac:dyDescent="0.2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12.75" customHeight="1" x14ac:dyDescent="0.2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12.75" customHeight="1" x14ac:dyDescent="0.2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12.75" customHeight="1" x14ac:dyDescent="0.2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12.75" customHeight="1" x14ac:dyDescent="0.2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12.75" customHeight="1" x14ac:dyDescent="0.2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12.75" customHeight="1" x14ac:dyDescent="0.2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12.75" customHeight="1" x14ac:dyDescent="0.2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12.75" customHeight="1" x14ac:dyDescent="0.2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12.75" customHeight="1" x14ac:dyDescent="0.2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12.75" customHeight="1" x14ac:dyDescent="0.2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12.75" customHeight="1" x14ac:dyDescent="0.2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12.75" customHeight="1" x14ac:dyDescent="0.2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12.75" customHeight="1" x14ac:dyDescent="0.2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12.75" customHeight="1" x14ac:dyDescent="0.2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12.75" customHeight="1" x14ac:dyDescent="0.2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12.75" customHeight="1" x14ac:dyDescent="0.2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12.75" customHeight="1" x14ac:dyDescent="0.2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12.75" customHeight="1" x14ac:dyDescent="0.2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12.75" customHeight="1" x14ac:dyDescent="0.2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12.75" customHeight="1" x14ac:dyDescent="0.2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12.75" customHeight="1" x14ac:dyDescent="0.2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12.75" customHeight="1" x14ac:dyDescent="0.2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12.75" customHeight="1" x14ac:dyDescent="0.2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12.75" customHeight="1" x14ac:dyDescent="0.2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12.75" customHeight="1" x14ac:dyDescent="0.2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12.75" customHeight="1" x14ac:dyDescent="0.2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12.75" customHeight="1" x14ac:dyDescent="0.2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12.75" customHeight="1" x14ac:dyDescent="0.2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12.75" customHeight="1" x14ac:dyDescent="0.2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12.75" customHeight="1" x14ac:dyDescent="0.2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12.75" customHeight="1" x14ac:dyDescent="0.2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12.75" customHeight="1" x14ac:dyDescent="0.2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12.75" customHeight="1" x14ac:dyDescent="0.2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12.75" customHeight="1" x14ac:dyDescent="0.2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12.75" customHeight="1" x14ac:dyDescent="0.2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12.75" customHeight="1" x14ac:dyDescent="0.2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12.75" customHeight="1" x14ac:dyDescent="0.2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12.75" customHeight="1" x14ac:dyDescent="0.2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12.75" customHeight="1" x14ac:dyDescent="0.2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12.75" customHeight="1" x14ac:dyDescent="0.2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12.75" customHeight="1" x14ac:dyDescent="0.2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12.75" customHeight="1" x14ac:dyDescent="0.2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12.75" customHeight="1" x14ac:dyDescent="0.2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12.75" customHeight="1" x14ac:dyDescent="0.2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12.75" customHeight="1" x14ac:dyDescent="0.2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12.75" customHeight="1" x14ac:dyDescent="0.2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12.75" customHeight="1" x14ac:dyDescent="0.2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12.75" customHeight="1" x14ac:dyDescent="0.2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12.75" customHeight="1" x14ac:dyDescent="0.2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12.75" customHeight="1" x14ac:dyDescent="0.2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12.75" customHeight="1" x14ac:dyDescent="0.2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12.75" customHeight="1" x14ac:dyDescent="0.2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12.75" customHeight="1" x14ac:dyDescent="0.2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12.75" customHeight="1" x14ac:dyDescent="0.2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12.75" customHeight="1" x14ac:dyDescent="0.2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12.75" customHeight="1" x14ac:dyDescent="0.2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12.75" customHeight="1" x14ac:dyDescent="0.2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12.75" customHeight="1" x14ac:dyDescent="0.2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12.75" customHeight="1" x14ac:dyDescent="0.2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12.75" customHeight="1" x14ac:dyDescent="0.2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12.75" customHeight="1" x14ac:dyDescent="0.2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12.75" customHeight="1" x14ac:dyDescent="0.2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12.75" customHeight="1" x14ac:dyDescent="0.2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12.75" customHeight="1" x14ac:dyDescent="0.2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12.75" customHeight="1" x14ac:dyDescent="0.2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12.75" customHeight="1" x14ac:dyDescent="0.2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12.75" customHeight="1" x14ac:dyDescent="0.2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12.75" customHeight="1" x14ac:dyDescent="0.2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12.75" customHeight="1" x14ac:dyDescent="0.2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12.75" customHeight="1" x14ac:dyDescent="0.2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12.75" customHeight="1" x14ac:dyDescent="0.2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12.75" customHeight="1" x14ac:dyDescent="0.2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12.75" customHeight="1" x14ac:dyDescent="0.2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12.75" customHeight="1" x14ac:dyDescent="0.2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12.75" customHeight="1" x14ac:dyDescent="0.2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12.75" customHeight="1" x14ac:dyDescent="0.2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12.75" customHeight="1" x14ac:dyDescent="0.2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12.75" customHeight="1" x14ac:dyDescent="0.2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12.75" customHeight="1" x14ac:dyDescent="0.2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12.75" customHeight="1" x14ac:dyDescent="0.2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12.75" customHeight="1" x14ac:dyDescent="0.2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12.75" customHeight="1" x14ac:dyDescent="0.2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12.75" customHeight="1" x14ac:dyDescent="0.2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12.75" customHeight="1" x14ac:dyDescent="0.2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12.75" customHeight="1" x14ac:dyDescent="0.2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12.75" customHeight="1" x14ac:dyDescent="0.2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12.75" customHeight="1" x14ac:dyDescent="0.2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12.75" customHeight="1" x14ac:dyDescent="0.2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12.75" customHeight="1" x14ac:dyDescent="0.2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12.75" customHeight="1" x14ac:dyDescent="0.2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12.75" customHeight="1" x14ac:dyDescent="0.2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12.75" customHeight="1" x14ac:dyDescent="0.2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12.75" customHeight="1" x14ac:dyDescent="0.2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12.75" customHeight="1" x14ac:dyDescent="0.2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12.75" customHeight="1" x14ac:dyDescent="0.2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12.75" customHeight="1" x14ac:dyDescent="0.2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12.75" customHeight="1" x14ac:dyDescent="0.2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12.75" customHeight="1" x14ac:dyDescent="0.2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12.75" customHeight="1" x14ac:dyDescent="0.2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12.75" customHeight="1" x14ac:dyDescent="0.2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12.75" customHeight="1" x14ac:dyDescent="0.2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12.75" customHeight="1" x14ac:dyDescent="0.2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12.75" customHeight="1" x14ac:dyDescent="0.2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12.75" customHeight="1" x14ac:dyDescent="0.2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12.75" customHeight="1" x14ac:dyDescent="0.2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12.75" customHeight="1" x14ac:dyDescent="0.2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12.75" customHeight="1" x14ac:dyDescent="0.2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12.75" customHeight="1" x14ac:dyDescent="0.2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12.75" customHeight="1" x14ac:dyDescent="0.2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12.75" customHeight="1" x14ac:dyDescent="0.2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12.75" customHeight="1" x14ac:dyDescent="0.2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12.75" customHeight="1" x14ac:dyDescent="0.2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12.75" customHeight="1" x14ac:dyDescent="0.2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12.75" customHeight="1" x14ac:dyDescent="0.2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12.75" customHeight="1" x14ac:dyDescent="0.2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12.75" customHeight="1" x14ac:dyDescent="0.2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12.75" customHeight="1" x14ac:dyDescent="0.2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12.75" customHeight="1" x14ac:dyDescent="0.2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12.75" customHeight="1" x14ac:dyDescent="0.2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12.75" customHeight="1" x14ac:dyDescent="0.2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12.75" customHeight="1" x14ac:dyDescent="0.2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12.75" customHeight="1" x14ac:dyDescent="0.2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12.75" customHeight="1" x14ac:dyDescent="0.2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12.75" customHeight="1" x14ac:dyDescent="0.2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12.75" customHeight="1" x14ac:dyDescent="0.2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12.75" customHeight="1" x14ac:dyDescent="0.2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12.75" customHeight="1" x14ac:dyDescent="0.2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12.75" customHeight="1" x14ac:dyDescent="0.2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12.75" customHeight="1" x14ac:dyDescent="0.2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12.75" customHeight="1" x14ac:dyDescent="0.2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12.75" customHeight="1" x14ac:dyDescent="0.2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12.75" customHeight="1" x14ac:dyDescent="0.2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12.75" customHeight="1" x14ac:dyDescent="0.2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12.75" customHeight="1" x14ac:dyDescent="0.2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12.75" customHeight="1" x14ac:dyDescent="0.2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12.75" customHeight="1" x14ac:dyDescent="0.2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12.75" customHeight="1" x14ac:dyDescent="0.2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12.75" customHeight="1" x14ac:dyDescent="0.2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12.75" customHeight="1" x14ac:dyDescent="0.2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12.75" customHeight="1" x14ac:dyDescent="0.2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12.75" customHeight="1" x14ac:dyDescent="0.2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12.75" customHeight="1" x14ac:dyDescent="0.2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12.75" customHeight="1" x14ac:dyDescent="0.2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12.75" customHeight="1" x14ac:dyDescent="0.2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12.75" customHeight="1" x14ac:dyDescent="0.2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12.75" customHeight="1" x14ac:dyDescent="0.2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12.75" customHeight="1" x14ac:dyDescent="0.2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12.75" customHeight="1" x14ac:dyDescent="0.2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12.75" customHeight="1" x14ac:dyDescent="0.2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12.75" customHeight="1" x14ac:dyDescent="0.2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12.75" customHeight="1" x14ac:dyDescent="0.2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12.75" customHeight="1" x14ac:dyDescent="0.2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12.75" customHeight="1" x14ac:dyDescent="0.2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12.75" customHeight="1" x14ac:dyDescent="0.2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12.75" customHeight="1" x14ac:dyDescent="0.2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12.75" customHeight="1" x14ac:dyDescent="0.2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12.75" customHeight="1" x14ac:dyDescent="0.2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12.75" customHeight="1" x14ac:dyDescent="0.2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12.75" customHeight="1" x14ac:dyDescent="0.2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12.75" customHeight="1" x14ac:dyDescent="0.2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12.75" customHeight="1" x14ac:dyDescent="0.2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12.75" customHeight="1" x14ac:dyDescent="0.2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12.75" customHeight="1" x14ac:dyDescent="0.2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12.75" customHeight="1" x14ac:dyDescent="0.2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12.75" customHeight="1" x14ac:dyDescent="0.2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12.75" customHeight="1" x14ac:dyDescent="0.2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12.75" customHeight="1" x14ac:dyDescent="0.2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12.75" customHeight="1" x14ac:dyDescent="0.2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12.75" customHeight="1" x14ac:dyDescent="0.2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12.75" customHeight="1" x14ac:dyDescent="0.2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12.75" customHeight="1" x14ac:dyDescent="0.2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12.75" customHeight="1" x14ac:dyDescent="0.2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12.75" customHeight="1" x14ac:dyDescent="0.2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12.75" customHeight="1" x14ac:dyDescent="0.2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12.75" customHeight="1" x14ac:dyDescent="0.2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12.75" customHeight="1" x14ac:dyDescent="0.2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12.75" customHeight="1" x14ac:dyDescent="0.2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12.75" customHeight="1" x14ac:dyDescent="0.2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12.75" customHeight="1" x14ac:dyDescent="0.2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12.75" customHeight="1" x14ac:dyDescent="0.2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12.75" customHeight="1" x14ac:dyDescent="0.2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12.75" customHeight="1" x14ac:dyDescent="0.2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12.75" customHeight="1" x14ac:dyDescent="0.2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12.75" customHeight="1" x14ac:dyDescent="0.2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12.75" customHeight="1" x14ac:dyDescent="0.2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12.75" customHeight="1" x14ac:dyDescent="0.2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12.75" customHeight="1" x14ac:dyDescent="0.2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12.75" customHeight="1" x14ac:dyDescent="0.2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12.75" customHeight="1" x14ac:dyDescent="0.2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12.75" customHeight="1" x14ac:dyDescent="0.2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12.75" customHeight="1" x14ac:dyDescent="0.2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12.75" customHeight="1" x14ac:dyDescent="0.2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12.75" customHeight="1" x14ac:dyDescent="0.2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12.75" customHeight="1" x14ac:dyDescent="0.2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12.75" customHeight="1" x14ac:dyDescent="0.2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12.75" customHeight="1" x14ac:dyDescent="0.2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12.75" customHeight="1" x14ac:dyDescent="0.2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12.75" customHeight="1" x14ac:dyDescent="0.2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12.75" customHeight="1" x14ac:dyDescent="0.2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12.75" customHeight="1" x14ac:dyDescent="0.2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12.75" customHeight="1" x14ac:dyDescent="0.2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12.75" customHeight="1" x14ac:dyDescent="0.2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12.75" customHeight="1" x14ac:dyDescent="0.2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12.75" customHeight="1" x14ac:dyDescent="0.2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12.75" customHeight="1" x14ac:dyDescent="0.2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12.75" customHeight="1" x14ac:dyDescent="0.2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12.75" customHeight="1" x14ac:dyDescent="0.2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12.75" customHeight="1" x14ac:dyDescent="0.2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12.75" customHeight="1" x14ac:dyDescent="0.2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12.75" customHeight="1" x14ac:dyDescent="0.2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12.75" customHeight="1" x14ac:dyDescent="0.2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12.75" customHeight="1" x14ac:dyDescent="0.2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12.75" customHeight="1" x14ac:dyDescent="0.2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12.75" customHeight="1" x14ac:dyDescent="0.2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12.75" customHeight="1" x14ac:dyDescent="0.2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12.75" customHeight="1" x14ac:dyDescent="0.2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12.75" customHeight="1" x14ac:dyDescent="0.2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12.75" customHeight="1" x14ac:dyDescent="0.2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12.75" customHeight="1" x14ac:dyDescent="0.2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12.75" customHeight="1" x14ac:dyDescent="0.2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12.75" customHeight="1" x14ac:dyDescent="0.2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12.75" customHeight="1" x14ac:dyDescent="0.2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12.75" customHeight="1" x14ac:dyDescent="0.2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12.75" customHeight="1" x14ac:dyDescent="0.2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12.75" customHeight="1" x14ac:dyDescent="0.2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12.75" customHeight="1" x14ac:dyDescent="0.2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12.75" customHeight="1" x14ac:dyDescent="0.2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3">
    <mergeCell ref="C4:D4"/>
    <mergeCell ref="C5:D5"/>
    <mergeCell ref="B2:K2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1.21875" defaultRowHeight="15" customHeight="1" x14ac:dyDescent="0.2"/>
  <cols>
    <col min="1" max="1" width="3.77734375" customWidth="1"/>
    <col min="2" max="2" width="10.44140625" customWidth="1"/>
    <col min="3" max="4" width="10.77734375" customWidth="1"/>
    <col min="5" max="5" width="10" customWidth="1"/>
    <col min="6" max="6" width="10.77734375" customWidth="1"/>
    <col min="7" max="7" width="9.77734375" customWidth="1"/>
    <col min="8" max="8" width="4.21875" customWidth="1"/>
    <col min="9" max="9" width="8.21875" customWidth="1"/>
    <col min="10" max="10" width="6.77734375" customWidth="1"/>
    <col min="11" max="12" width="11.109375" customWidth="1"/>
    <col min="13" max="21" width="8.77734375" customWidth="1"/>
    <col min="22" max="26" width="8" customWidth="1"/>
  </cols>
  <sheetData>
    <row r="1" spans="1:26" ht="12.75" customHeight="1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62"/>
      <c r="W1" s="62"/>
      <c r="X1" s="62"/>
      <c r="Y1" s="62"/>
      <c r="Z1" s="62"/>
    </row>
    <row r="2" spans="1:26" ht="24.75" customHeight="1" x14ac:dyDescent="0.2">
      <c r="A2" s="109"/>
      <c r="B2" s="352" t="s">
        <v>135</v>
      </c>
      <c r="C2" s="298"/>
      <c r="D2" s="298"/>
      <c r="E2" s="298"/>
      <c r="F2" s="298"/>
      <c r="G2" s="298"/>
      <c r="H2" s="298"/>
      <c r="I2" s="298"/>
      <c r="J2" s="298"/>
      <c r="K2" s="35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62"/>
      <c r="W2" s="62"/>
      <c r="X2" s="62"/>
      <c r="Y2" s="62"/>
      <c r="Z2" s="62"/>
    </row>
    <row r="3" spans="1:26" ht="12.75" customHeight="1" x14ac:dyDescent="0.2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62"/>
      <c r="W3" s="62"/>
      <c r="X3" s="62"/>
      <c r="Y3" s="62"/>
      <c r="Z3" s="62"/>
    </row>
    <row r="4" spans="1:26" ht="31.5" customHeight="1" x14ac:dyDescent="0.2">
      <c r="A4" s="109"/>
      <c r="B4" s="109"/>
      <c r="C4" s="311" t="s">
        <v>121</v>
      </c>
      <c r="D4" s="313"/>
      <c r="E4" s="110" t="s">
        <v>26</v>
      </c>
      <c r="F4" s="110" t="s">
        <v>27</v>
      </c>
      <c r="G4" s="110" t="s">
        <v>28</v>
      </c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62"/>
      <c r="W4" s="62"/>
      <c r="X4" s="62"/>
      <c r="Y4" s="62"/>
      <c r="Z4" s="62"/>
    </row>
    <row r="5" spans="1:26" ht="18" customHeight="1" x14ac:dyDescent="0.2">
      <c r="A5" s="109"/>
      <c r="B5" s="109"/>
      <c r="C5" s="351">
        <v>899999989999</v>
      </c>
      <c r="D5" s="282"/>
      <c r="E5" s="111">
        <v>7</v>
      </c>
      <c r="F5" s="111">
        <v>2</v>
      </c>
      <c r="G5" s="112">
        <v>3</v>
      </c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62"/>
      <c r="W5" s="62"/>
      <c r="X5" s="62"/>
      <c r="Y5" s="62"/>
      <c r="Z5" s="62"/>
    </row>
    <row r="6" spans="1:26" ht="12.75" customHeight="1" x14ac:dyDescent="0.2">
      <c r="A6" s="109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62"/>
      <c r="W6" s="62"/>
      <c r="X6" s="62"/>
      <c r="Y6" s="62"/>
      <c r="Z6" s="62"/>
    </row>
    <row r="7" spans="1:26" ht="12.75" customHeight="1" x14ac:dyDescent="0.2">
      <c r="A7" s="109"/>
      <c r="B7" s="113"/>
      <c r="C7" s="114"/>
      <c r="D7" s="114"/>
      <c r="E7" s="114"/>
      <c r="F7" s="114"/>
      <c r="G7" s="135">
        <f>G5/100</f>
        <v>0.03</v>
      </c>
      <c r="H7" s="114"/>
      <c r="I7" s="114"/>
      <c r="J7" s="114"/>
      <c r="K7" s="116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62"/>
      <c r="W7" s="62"/>
      <c r="X7" s="62"/>
      <c r="Y7" s="62"/>
      <c r="Z7" s="62"/>
    </row>
    <row r="8" spans="1:26" ht="12.75" customHeight="1" x14ac:dyDescent="0.2">
      <c r="A8" s="109"/>
      <c r="B8" s="117" t="s">
        <v>122</v>
      </c>
      <c r="C8" s="117" t="s">
        <v>123</v>
      </c>
      <c r="D8" s="117" t="s">
        <v>124</v>
      </c>
      <c r="E8" s="117" t="s">
        <v>125</v>
      </c>
      <c r="F8" s="117" t="s">
        <v>126</v>
      </c>
      <c r="G8" s="117" t="s">
        <v>127</v>
      </c>
      <c r="H8" s="117" t="s">
        <v>128</v>
      </c>
      <c r="I8" s="118" t="s">
        <v>129</v>
      </c>
      <c r="J8" s="117" t="s">
        <v>130</v>
      </c>
      <c r="K8" s="117" t="s">
        <v>131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62"/>
      <c r="W8" s="62"/>
      <c r="X8" s="62"/>
      <c r="Y8" s="62"/>
      <c r="Z8" s="62"/>
    </row>
    <row r="9" spans="1:26" ht="12.75" customHeight="1" x14ac:dyDescent="0.2">
      <c r="A9" s="109"/>
      <c r="B9" s="119"/>
      <c r="C9" s="120"/>
      <c r="D9" s="120"/>
      <c r="E9" s="120"/>
      <c r="F9" s="120"/>
      <c r="G9" s="121">
        <f>C5</f>
        <v>899999989999</v>
      </c>
      <c r="H9" s="120"/>
      <c r="I9" s="121"/>
      <c r="J9" s="122"/>
      <c r="K9" s="123">
        <f>G9</f>
        <v>899999989999</v>
      </c>
      <c r="L9" s="109"/>
      <c r="M9" s="124"/>
      <c r="N9" s="109"/>
      <c r="O9" s="109"/>
      <c r="P9" s="109"/>
      <c r="Q9" s="109"/>
      <c r="R9" s="109"/>
      <c r="S9" s="109"/>
      <c r="T9" s="109"/>
      <c r="U9" s="109"/>
      <c r="V9" s="62"/>
      <c r="W9" s="62"/>
      <c r="X9" s="62"/>
      <c r="Y9" s="62"/>
      <c r="Z9" s="62"/>
    </row>
    <row r="10" spans="1:26" ht="12.75" customHeight="1" x14ac:dyDescent="0.2">
      <c r="A10" s="109"/>
      <c r="B10" s="125">
        <f>C10+B9</f>
        <v>26999999699.970001</v>
      </c>
      <c r="C10" s="121">
        <f t="shared" ref="C10:C29" si="0">ROUND(G9*$G$7,2)</f>
        <v>26999999699.970001</v>
      </c>
      <c r="D10" s="121">
        <f t="shared" ref="D10:D29" si="1">ROUND(C10,2)</f>
        <v>26999999699.970001</v>
      </c>
      <c r="E10" s="133">
        <v>0</v>
      </c>
      <c r="F10" s="121">
        <f t="shared" ref="F10:F29" si="2">E10+D10</f>
        <v>26999999699.970001</v>
      </c>
      <c r="G10" s="121">
        <f t="shared" ref="G10:G29" si="3">G9+C10-F10</f>
        <v>899999989999</v>
      </c>
      <c r="H10" s="120">
        <v>1</v>
      </c>
      <c r="I10" s="126">
        <f t="shared" ref="I10:I29" si="4">IF(K9=0,0,E10/K9)</f>
        <v>0</v>
      </c>
      <c r="J10" s="122" t="str">
        <f t="shared" ref="J10:J29" si="5">IF(H10&lt;=$F$5,"Sim","Não")</f>
        <v>Sim</v>
      </c>
      <c r="K10" s="123">
        <f t="shared" ref="K10:K29" si="6">K9-E10</f>
        <v>899999989999</v>
      </c>
      <c r="L10" s="109"/>
      <c r="M10" s="124"/>
      <c r="N10" s="109"/>
      <c r="O10" s="109"/>
      <c r="P10" s="109"/>
      <c r="Q10" s="109"/>
      <c r="R10" s="109"/>
      <c r="S10" s="109"/>
      <c r="T10" s="109"/>
      <c r="U10" s="109"/>
      <c r="V10" s="62"/>
      <c r="W10" s="62"/>
      <c r="X10" s="62"/>
      <c r="Y10" s="62"/>
      <c r="Z10" s="62"/>
    </row>
    <row r="11" spans="1:26" ht="12.75" customHeight="1" x14ac:dyDescent="0.2">
      <c r="A11" s="109"/>
      <c r="B11" s="125">
        <f t="shared" ref="B11:B29" si="7">C11+B10-D10</f>
        <v>26999999699.970001</v>
      </c>
      <c r="C11" s="121">
        <f t="shared" si="0"/>
        <v>26999999699.970001</v>
      </c>
      <c r="D11" s="121">
        <f t="shared" si="1"/>
        <v>26999999699.970001</v>
      </c>
      <c r="E11" s="133">
        <v>0</v>
      </c>
      <c r="F11" s="121">
        <f t="shared" si="2"/>
        <v>26999999699.970001</v>
      </c>
      <c r="G11" s="121">
        <f t="shared" si="3"/>
        <v>899999989999</v>
      </c>
      <c r="H11" s="120">
        <v>2</v>
      </c>
      <c r="I11" s="126">
        <f t="shared" si="4"/>
        <v>0</v>
      </c>
      <c r="J11" s="122" t="str">
        <f t="shared" si="5"/>
        <v>Sim</v>
      </c>
      <c r="K11" s="123">
        <f t="shared" si="6"/>
        <v>899999989999</v>
      </c>
      <c r="L11" s="109"/>
      <c r="M11" s="124"/>
      <c r="N11" s="109"/>
      <c r="O11" s="109"/>
      <c r="P11" s="109"/>
      <c r="Q11" s="109"/>
      <c r="R11" s="109"/>
      <c r="S11" s="109"/>
      <c r="T11" s="109"/>
      <c r="U11" s="109"/>
      <c r="V11" s="62"/>
      <c r="W11" s="62"/>
      <c r="X11" s="62"/>
      <c r="Y11" s="62"/>
      <c r="Z11" s="62"/>
    </row>
    <row r="12" spans="1:26" ht="12.75" customHeight="1" x14ac:dyDescent="0.2">
      <c r="A12" s="109"/>
      <c r="B12" s="125">
        <f t="shared" si="7"/>
        <v>26999999699.970001</v>
      </c>
      <c r="C12" s="121">
        <f t="shared" si="0"/>
        <v>26999999699.970001</v>
      </c>
      <c r="D12" s="121">
        <f t="shared" si="1"/>
        <v>26999999699.970001</v>
      </c>
      <c r="E12" s="133">
        <v>179999997999.79999</v>
      </c>
      <c r="F12" s="121">
        <f t="shared" si="2"/>
        <v>206999997699.76999</v>
      </c>
      <c r="G12" s="121">
        <f t="shared" si="3"/>
        <v>719999991999.19995</v>
      </c>
      <c r="H12" s="120">
        <v>3</v>
      </c>
      <c r="I12" s="126">
        <f t="shared" si="4"/>
        <v>0.19999999999999998</v>
      </c>
      <c r="J12" s="122" t="str">
        <f t="shared" si="5"/>
        <v>Não</v>
      </c>
      <c r="K12" s="123">
        <f t="shared" si="6"/>
        <v>719999991999.19995</v>
      </c>
      <c r="L12" s="109"/>
      <c r="M12" s="124"/>
      <c r="N12" s="109"/>
      <c r="O12" s="109"/>
      <c r="P12" s="109"/>
      <c r="Q12" s="109"/>
      <c r="R12" s="109"/>
      <c r="S12" s="109"/>
      <c r="T12" s="109"/>
      <c r="U12" s="109"/>
      <c r="V12" s="62"/>
      <c r="W12" s="62"/>
      <c r="X12" s="62"/>
      <c r="Y12" s="62"/>
      <c r="Z12" s="62"/>
    </row>
    <row r="13" spans="1:26" ht="12.75" customHeight="1" x14ac:dyDescent="0.2">
      <c r="A13" s="109"/>
      <c r="B13" s="125">
        <f t="shared" si="7"/>
        <v>21599999759.979996</v>
      </c>
      <c r="C13" s="121">
        <f t="shared" si="0"/>
        <v>21599999759.98</v>
      </c>
      <c r="D13" s="121">
        <f t="shared" si="1"/>
        <v>21599999759.98</v>
      </c>
      <c r="E13" s="133">
        <v>179999997999.79999</v>
      </c>
      <c r="F13" s="121">
        <f t="shared" si="2"/>
        <v>201599997759.78</v>
      </c>
      <c r="G13" s="121">
        <f t="shared" si="3"/>
        <v>539999993999.3999</v>
      </c>
      <c r="H13" s="120">
        <v>4</v>
      </c>
      <c r="I13" s="126">
        <f t="shared" si="4"/>
        <v>0.25</v>
      </c>
      <c r="J13" s="122" t="str">
        <f t="shared" si="5"/>
        <v>Não</v>
      </c>
      <c r="K13" s="123">
        <f t="shared" si="6"/>
        <v>539999993999.39996</v>
      </c>
      <c r="L13" s="109"/>
      <c r="M13" s="124"/>
      <c r="N13" s="109"/>
      <c r="O13" s="109"/>
      <c r="P13" s="109"/>
      <c r="Q13" s="109"/>
      <c r="R13" s="109"/>
      <c r="S13" s="109"/>
      <c r="T13" s="109"/>
      <c r="U13" s="109"/>
      <c r="V13" s="62"/>
      <c r="W13" s="62"/>
      <c r="X13" s="62"/>
      <c r="Y13" s="62"/>
      <c r="Z13" s="62"/>
    </row>
    <row r="14" spans="1:26" ht="12.75" customHeight="1" x14ac:dyDescent="0.2">
      <c r="A14" s="109"/>
      <c r="B14" s="125">
        <f t="shared" si="7"/>
        <v>16199999819.979992</v>
      </c>
      <c r="C14" s="121">
        <f t="shared" si="0"/>
        <v>16199999819.98</v>
      </c>
      <c r="D14" s="121">
        <f t="shared" si="1"/>
        <v>16199999819.98</v>
      </c>
      <c r="E14" s="133">
        <v>179999997999.79999</v>
      </c>
      <c r="F14" s="121">
        <f t="shared" si="2"/>
        <v>196199997819.78</v>
      </c>
      <c r="G14" s="121">
        <f t="shared" si="3"/>
        <v>359999995999.59985</v>
      </c>
      <c r="H14" s="120">
        <v>5</v>
      </c>
      <c r="I14" s="126">
        <f t="shared" si="4"/>
        <v>0.33333333333333331</v>
      </c>
      <c r="J14" s="122" t="str">
        <f t="shared" si="5"/>
        <v>Não</v>
      </c>
      <c r="K14" s="123">
        <f t="shared" si="6"/>
        <v>359999995999.59998</v>
      </c>
      <c r="L14" s="109"/>
      <c r="M14" s="124"/>
      <c r="N14" s="109"/>
      <c r="O14" s="109"/>
      <c r="P14" s="109"/>
      <c r="Q14" s="109"/>
      <c r="R14" s="109"/>
      <c r="S14" s="109"/>
      <c r="T14" s="109"/>
      <c r="U14" s="109"/>
      <c r="V14" s="62"/>
      <c r="W14" s="62"/>
      <c r="X14" s="62"/>
      <c r="Y14" s="62"/>
      <c r="Z14" s="62"/>
    </row>
    <row r="15" spans="1:26" ht="12.75" customHeight="1" x14ac:dyDescent="0.2">
      <c r="A15" s="109"/>
      <c r="B15" s="125">
        <f t="shared" si="7"/>
        <v>10799999879.989994</v>
      </c>
      <c r="C15" s="121">
        <f t="shared" si="0"/>
        <v>10799999879.99</v>
      </c>
      <c r="D15" s="121">
        <f t="shared" si="1"/>
        <v>10799999879.99</v>
      </c>
      <c r="E15" s="133">
        <v>179999997999.79999</v>
      </c>
      <c r="F15" s="121">
        <f t="shared" si="2"/>
        <v>190799997879.78998</v>
      </c>
      <c r="G15" s="121">
        <f t="shared" si="3"/>
        <v>179999997999.79987</v>
      </c>
      <c r="H15" s="120">
        <v>6</v>
      </c>
      <c r="I15" s="126">
        <f t="shared" si="4"/>
        <v>0.5</v>
      </c>
      <c r="J15" s="122" t="str">
        <f t="shared" si="5"/>
        <v>Não</v>
      </c>
      <c r="K15" s="123">
        <f t="shared" si="6"/>
        <v>179999997999.79999</v>
      </c>
      <c r="L15" s="109"/>
      <c r="M15" s="124"/>
      <c r="N15" s="109"/>
      <c r="O15" s="109"/>
      <c r="P15" s="109"/>
      <c r="Q15" s="109"/>
      <c r="R15" s="109"/>
      <c r="S15" s="109"/>
      <c r="T15" s="109"/>
      <c r="U15" s="109"/>
      <c r="V15" s="62"/>
      <c r="W15" s="62"/>
      <c r="X15" s="62"/>
      <c r="Y15" s="62"/>
      <c r="Z15" s="62"/>
    </row>
    <row r="16" spans="1:26" ht="12.75" customHeight="1" x14ac:dyDescent="0.2">
      <c r="A16" s="109"/>
      <c r="B16" s="125">
        <f t="shared" si="7"/>
        <v>5399999939.989994</v>
      </c>
      <c r="C16" s="121">
        <f t="shared" si="0"/>
        <v>5399999939.9899998</v>
      </c>
      <c r="D16" s="121">
        <f t="shared" si="1"/>
        <v>5399999939.9899998</v>
      </c>
      <c r="E16" s="133">
        <v>179999997999.79999</v>
      </c>
      <c r="F16" s="121">
        <f t="shared" si="2"/>
        <v>185399997939.78998</v>
      </c>
      <c r="G16" s="121">
        <f t="shared" si="3"/>
        <v>0</v>
      </c>
      <c r="H16" s="120">
        <v>7</v>
      </c>
      <c r="I16" s="126">
        <f t="shared" si="4"/>
        <v>1</v>
      </c>
      <c r="J16" s="122" t="str">
        <f t="shared" si="5"/>
        <v>Não</v>
      </c>
      <c r="K16" s="123">
        <f t="shared" si="6"/>
        <v>0</v>
      </c>
      <c r="L16" s="109"/>
      <c r="M16" s="124"/>
      <c r="N16" s="109"/>
      <c r="O16" s="109"/>
      <c r="P16" s="109"/>
      <c r="Q16" s="109"/>
      <c r="R16" s="109"/>
      <c r="S16" s="109"/>
      <c r="T16" s="109"/>
      <c r="U16" s="109"/>
      <c r="V16" s="62"/>
      <c r="W16" s="62"/>
      <c r="X16" s="62"/>
      <c r="Y16" s="62"/>
      <c r="Z16" s="62"/>
    </row>
    <row r="17" spans="1:26" ht="12.75" customHeight="1" x14ac:dyDescent="0.2">
      <c r="A17" s="109"/>
      <c r="B17" s="125">
        <f t="shared" si="7"/>
        <v>0</v>
      </c>
      <c r="C17" s="121">
        <f t="shared" si="0"/>
        <v>0</v>
      </c>
      <c r="D17" s="121">
        <f t="shared" si="1"/>
        <v>0</v>
      </c>
      <c r="E17" s="133">
        <v>0</v>
      </c>
      <c r="F17" s="121">
        <f t="shared" si="2"/>
        <v>0</v>
      </c>
      <c r="G17" s="121">
        <f t="shared" si="3"/>
        <v>0</v>
      </c>
      <c r="H17" s="120">
        <v>8</v>
      </c>
      <c r="I17" s="126">
        <f t="shared" si="4"/>
        <v>0</v>
      </c>
      <c r="J17" s="122" t="str">
        <f t="shared" si="5"/>
        <v>Não</v>
      </c>
      <c r="K17" s="123">
        <f t="shared" si="6"/>
        <v>0</v>
      </c>
      <c r="L17" s="109"/>
      <c r="M17" s="124"/>
      <c r="N17" s="109"/>
      <c r="O17" s="109"/>
      <c r="P17" s="109"/>
      <c r="Q17" s="109"/>
      <c r="R17" s="109"/>
      <c r="S17" s="109"/>
      <c r="T17" s="109"/>
      <c r="U17" s="109"/>
      <c r="V17" s="62"/>
      <c r="W17" s="62"/>
      <c r="X17" s="62"/>
      <c r="Y17" s="62"/>
      <c r="Z17" s="62"/>
    </row>
    <row r="18" spans="1:26" ht="12.75" customHeight="1" x14ac:dyDescent="0.2">
      <c r="A18" s="109"/>
      <c r="B18" s="125">
        <f t="shared" si="7"/>
        <v>0</v>
      </c>
      <c r="C18" s="121">
        <f t="shared" si="0"/>
        <v>0</v>
      </c>
      <c r="D18" s="121">
        <f t="shared" si="1"/>
        <v>0</v>
      </c>
      <c r="E18" s="133">
        <v>0</v>
      </c>
      <c r="F18" s="121">
        <f t="shared" si="2"/>
        <v>0</v>
      </c>
      <c r="G18" s="121">
        <f t="shared" si="3"/>
        <v>0</v>
      </c>
      <c r="H18" s="120">
        <v>9</v>
      </c>
      <c r="I18" s="126">
        <f t="shared" si="4"/>
        <v>0</v>
      </c>
      <c r="J18" s="122" t="str">
        <f t="shared" si="5"/>
        <v>Não</v>
      </c>
      <c r="K18" s="123">
        <f t="shared" si="6"/>
        <v>0</v>
      </c>
      <c r="L18" s="109"/>
      <c r="M18" s="124"/>
      <c r="N18" s="109"/>
      <c r="O18" s="109"/>
      <c r="P18" s="109"/>
      <c r="Q18" s="109"/>
      <c r="R18" s="109"/>
      <c r="S18" s="109"/>
      <c r="T18" s="109"/>
      <c r="U18" s="109"/>
      <c r="V18" s="62"/>
      <c r="W18" s="62"/>
      <c r="X18" s="62"/>
      <c r="Y18" s="62"/>
      <c r="Z18" s="62"/>
    </row>
    <row r="19" spans="1:26" ht="12.75" customHeight="1" x14ac:dyDescent="0.2">
      <c r="A19" s="109"/>
      <c r="B19" s="125">
        <f t="shared" si="7"/>
        <v>0</v>
      </c>
      <c r="C19" s="121">
        <f t="shared" si="0"/>
        <v>0</v>
      </c>
      <c r="D19" s="121">
        <f t="shared" si="1"/>
        <v>0</v>
      </c>
      <c r="E19" s="133">
        <v>0</v>
      </c>
      <c r="F19" s="121">
        <f t="shared" si="2"/>
        <v>0</v>
      </c>
      <c r="G19" s="121">
        <f t="shared" si="3"/>
        <v>0</v>
      </c>
      <c r="H19" s="120">
        <v>10</v>
      </c>
      <c r="I19" s="126">
        <f t="shared" si="4"/>
        <v>0</v>
      </c>
      <c r="J19" s="122" t="str">
        <f t="shared" si="5"/>
        <v>Não</v>
      </c>
      <c r="K19" s="123">
        <f t="shared" si="6"/>
        <v>0</v>
      </c>
      <c r="L19" s="109"/>
      <c r="M19" s="124"/>
      <c r="N19" s="109"/>
      <c r="O19" s="109"/>
      <c r="P19" s="109"/>
      <c r="Q19" s="109"/>
      <c r="R19" s="109"/>
      <c r="S19" s="109"/>
      <c r="T19" s="109"/>
      <c r="U19" s="109"/>
      <c r="V19" s="62"/>
      <c r="W19" s="62"/>
      <c r="X19" s="62"/>
      <c r="Y19" s="62"/>
      <c r="Z19" s="62"/>
    </row>
    <row r="20" spans="1:26" ht="12.75" customHeight="1" x14ac:dyDescent="0.2">
      <c r="A20" s="109"/>
      <c r="B20" s="125">
        <f t="shared" si="7"/>
        <v>0</v>
      </c>
      <c r="C20" s="121">
        <f t="shared" si="0"/>
        <v>0</v>
      </c>
      <c r="D20" s="121">
        <f t="shared" si="1"/>
        <v>0</v>
      </c>
      <c r="E20" s="133">
        <v>0</v>
      </c>
      <c r="F20" s="121">
        <f t="shared" si="2"/>
        <v>0</v>
      </c>
      <c r="G20" s="121">
        <f t="shared" si="3"/>
        <v>0</v>
      </c>
      <c r="H20" s="120">
        <v>11</v>
      </c>
      <c r="I20" s="126">
        <f t="shared" si="4"/>
        <v>0</v>
      </c>
      <c r="J20" s="122" t="str">
        <f t="shared" si="5"/>
        <v>Não</v>
      </c>
      <c r="K20" s="123">
        <f t="shared" si="6"/>
        <v>0</v>
      </c>
      <c r="L20" s="109"/>
      <c r="M20" s="124"/>
      <c r="N20" s="109"/>
      <c r="O20" s="109"/>
      <c r="P20" s="109"/>
      <c r="Q20" s="109"/>
      <c r="R20" s="109"/>
      <c r="S20" s="109"/>
      <c r="T20" s="109"/>
      <c r="U20" s="109"/>
      <c r="V20" s="62"/>
      <c r="W20" s="62"/>
      <c r="X20" s="62"/>
      <c r="Y20" s="62"/>
      <c r="Z20" s="62"/>
    </row>
    <row r="21" spans="1:26" ht="12.75" customHeight="1" x14ac:dyDescent="0.2">
      <c r="A21" s="109"/>
      <c r="B21" s="125">
        <f t="shared" si="7"/>
        <v>0</v>
      </c>
      <c r="C21" s="121">
        <f t="shared" si="0"/>
        <v>0</v>
      </c>
      <c r="D21" s="121">
        <f t="shared" si="1"/>
        <v>0</v>
      </c>
      <c r="E21" s="133">
        <v>0</v>
      </c>
      <c r="F21" s="121">
        <f t="shared" si="2"/>
        <v>0</v>
      </c>
      <c r="G21" s="121">
        <f t="shared" si="3"/>
        <v>0</v>
      </c>
      <c r="H21" s="120">
        <v>12</v>
      </c>
      <c r="I21" s="126">
        <f t="shared" si="4"/>
        <v>0</v>
      </c>
      <c r="J21" s="122" t="str">
        <f t="shared" si="5"/>
        <v>Não</v>
      </c>
      <c r="K21" s="123">
        <f t="shared" si="6"/>
        <v>0</v>
      </c>
      <c r="L21" s="109"/>
      <c r="M21" s="124"/>
      <c r="N21" s="109"/>
      <c r="O21" s="109"/>
      <c r="P21" s="109"/>
      <c r="Q21" s="109"/>
      <c r="R21" s="109"/>
      <c r="S21" s="109"/>
      <c r="T21" s="109"/>
      <c r="U21" s="109"/>
      <c r="V21" s="62"/>
      <c r="W21" s="62"/>
      <c r="X21" s="62"/>
      <c r="Y21" s="62"/>
      <c r="Z21" s="62"/>
    </row>
    <row r="22" spans="1:26" ht="12.75" customHeight="1" x14ac:dyDescent="0.2">
      <c r="A22" s="109"/>
      <c r="B22" s="125">
        <f t="shared" si="7"/>
        <v>0</v>
      </c>
      <c r="C22" s="121">
        <f t="shared" si="0"/>
        <v>0</v>
      </c>
      <c r="D22" s="121">
        <f t="shared" si="1"/>
        <v>0</v>
      </c>
      <c r="E22" s="133">
        <v>0</v>
      </c>
      <c r="F22" s="121">
        <f t="shared" si="2"/>
        <v>0</v>
      </c>
      <c r="G22" s="121">
        <f t="shared" si="3"/>
        <v>0</v>
      </c>
      <c r="H22" s="120">
        <v>13</v>
      </c>
      <c r="I22" s="126">
        <f t="shared" si="4"/>
        <v>0</v>
      </c>
      <c r="J22" s="122" t="str">
        <f t="shared" si="5"/>
        <v>Não</v>
      </c>
      <c r="K22" s="123">
        <f t="shared" si="6"/>
        <v>0</v>
      </c>
      <c r="L22" s="109"/>
      <c r="M22" s="124"/>
      <c r="N22" s="109"/>
      <c r="O22" s="109"/>
      <c r="P22" s="109"/>
      <c r="Q22" s="109"/>
      <c r="R22" s="109"/>
      <c r="S22" s="109"/>
      <c r="T22" s="109"/>
      <c r="U22" s="109"/>
      <c r="V22" s="62"/>
      <c r="W22" s="62"/>
      <c r="X22" s="62"/>
      <c r="Y22" s="62"/>
      <c r="Z22" s="62"/>
    </row>
    <row r="23" spans="1:26" ht="12.75" customHeight="1" x14ac:dyDescent="0.2">
      <c r="A23" s="109"/>
      <c r="B23" s="125">
        <f t="shared" si="7"/>
        <v>0</v>
      </c>
      <c r="C23" s="121">
        <f t="shared" si="0"/>
        <v>0</v>
      </c>
      <c r="D23" s="121">
        <f t="shared" si="1"/>
        <v>0</v>
      </c>
      <c r="E23" s="133">
        <v>0</v>
      </c>
      <c r="F23" s="121">
        <f t="shared" si="2"/>
        <v>0</v>
      </c>
      <c r="G23" s="121">
        <f t="shared" si="3"/>
        <v>0</v>
      </c>
      <c r="H23" s="120">
        <v>14</v>
      </c>
      <c r="I23" s="126">
        <f t="shared" si="4"/>
        <v>0</v>
      </c>
      <c r="J23" s="122" t="str">
        <f t="shared" si="5"/>
        <v>Não</v>
      </c>
      <c r="K23" s="123">
        <f t="shared" si="6"/>
        <v>0</v>
      </c>
      <c r="L23" s="109"/>
      <c r="M23" s="124"/>
      <c r="N23" s="109"/>
      <c r="O23" s="109"/>
      <c r="P23" s="109"/>
      <c r="Q23" s="109"/>
      <c r="R23" s="109"/>
      <c r="S23" s="109"/>
      <c r="T23" s="109"/>
      <c r="U23" s="109"/>
      <c r="V23" s="62"/>
      <c r="W23" s="62"/>
      <c r="X23" s="62"/>
      <c r="Y23" s="62"/>
      <c r="Z23" s="62"/>
    </row>
    <row r="24" spans="1:26" ht="12.75" customHeight="1" x14ac:dyDescent="0.2">
      <c r="A24" s="109"/>
      <c r="B24" s="125">
        <f t="shared" si="7"/>
        <v>0</v>
      </c>
      <c r="C24" s="121">
        <f t="shared" si="0"/>
        <v>0</v>
      </c>
      <c r="D24" s="121">
        <f t="shared" si="1"/>
        <v>0</v>
      </c>
      <c r="E24" s="133">
        <v>0</v>
      </c>
      <c r="F24" s="121">
        <f t="shared" si="2"/>
        <v>0</v>
      </c>
      <c r="G24" s="121">
        <f t="shared" si="3"/>
        <v>0</v>
      </c>
      <c r="H24" s="120">
        <v>15</v>
      </c>
      <c r="I24" s="126">
        <f t="shared" si="4"/>
        <v>0</v>
      </c>
      <c r="J24" s="122" t="str">
        <f t="shared" si="5"/>
        <v>Não</v>
      </c>
      <c r="K24" s="123">
        <f t="shared" si="6"/>
        <v>0</v>
      </c>
      <c r="L24" s="109"/>
      <c r="M24" s="124"/>
      <c r="N24" s="109"/>
      <c r="O24" s="109"/>
      <c r="P24" s="109"/>
      <c r="Q24" s="109"/>
      <c r="R24" s="109"/>
      <c r="S24" s="109"/>
      <c r="T24" s="109"/>
      <c r="U24" s="109"/>
      <c r="V24" s="62"/>
      <c r="W24" s="62"/>
      <c r="X24" s="62"/>
      <c r="Y24" s="62"/>
      <c r="Z24" s="62"/>
    </row>
    <row r="25" spans="1:26" ht="12.75" customHeight="1" x14ac:dyDescent="0.2">
      <c r="A25" s="109"/>
      <c r="B25" s="125">
        <f t="shared" si="7"/>
        <v>0</v>
      </c>
      <c r="C25" s="121">
        <f t="shared" si="0"/>
        <v>0</v>
      </c>
      <c r="D25" s="121">
        <f t="shared" si="1"/>
        <v>0</v>
      </c>
      <c r="E25" s="133">
        <v>0</v>
      </c>
      <c r="F25" s="121">
        <f t="shared" si="2"/>
        <v>0</v>
      </c>
      <c r="G25" s="121">
        <f t="shared" si="3"/>
        <v>0</v>
      </c>
      <c r="H25" s="120">
        <v>16</v>
      </c>
      <c r="I25" s="126">
        <f t="shared" si="4"/>
        <v>0</v>
      </c>
      <c r="J25" s="122" t="str">
        <f t="shared" si="5"/>
        <v>Não</v>
      </c>
      <c r="K25" s="123">
        <f t="shared" si="6"/>
        <v>0</v>
      </c>
      <c r="L25" s="109"/>
      <c r="M25" s="124"/>
      <c r="N25" s="109"/>
      <c r="O25" s="109"/>
      <c r="P25" s="109"/>
      <c r="Q25" s="109"/>
      <c r="R25" s="109"/>
      <c r="S25" s="109"/>
      <c r="T25" s="109"/>
      <c r="U25" s="109"/>
      <c r="V25" s="62"/>
      <c r="W25" s="62"/>
      <c r="X25" s="62"/>
      <c r="Y25" s="62"/>
      <c r="Z25" s="62"/>
    </row>
    <row r="26" spans="1:26" ht="12.75" customHeight="1" x14ac:dyDescent="0.2">
      <c r="A26" s="109"/>
      <c r="B26" s="125">
        <f t="shared" si="7"/>
        <v>0</v>
      </c>
      <c r="C26" s="121">
        <f t="shared" si="0"/>
        <v>0</v>
      </c>
      <c r="D26" s="121">
        <f t="shared" si="1"/>
        <v>0</v>
      </c>
      <c r="E26" s="133">
        <v>0</v>
      </c>
      <c r="F26" s="121">
        <f t="shared" si="2"/>
        <v>0</v>
      </c>
      <c r="G26" s="121">
        <f t="shared" si="3"/>
        <v>0</v>
      </c>
      <c r="H26" s="120">
        <v>17</v>
      </c>
      <c r="I26" s="126">
        <f t="shared" si="4"/>
        <v>0</v>
      </c>
      <c r="J26" s="122" t="str">
        <f t="shared" si="5"/>
        <v>Não</v>
      </c>
      <c r="K26" s="123">
        <f t="shared" si="6"/>
        <v>0</v>
      </c>
      <c r="L26" s="109"/>
      <c r="M26" s="124"/>
      <c r="N26" s="109"/>
      <c r="O26" s="109"/>
      <c r="P26" s="109"/>
      <c r="Q26" s="109"/>
      <c r="R26" s="109"/>
      <c r="S26" s="109"/>
      <c r="T26" s="109"/>
      <c r="U26" s="109"/>
      <c r="V26" s="62"/>
      <c r="W26" s="62"/>
      <c r="X26" s="62"/>
      <c r="Y26" s="62"/>
      <c r="Z26" s="62"/>
    </row>
    <row r="27" spans="1:26" ht="12.75" customHeight="1" x14ac:dyDescent="0.2">
      <c r="A27" s="109"/>
      <c r="B27" s="125">
        <f t="shared" si="7"/>
        <v>0</v>
      </c>
      <c r="C27" s="121">
        <f t="shared" si="0"/>
        <v>0</v>
      </c>
      <c r="D27" s="121">
        <f t="shared" si="1"/>
        <v>0</v>
      </c>
      <c r="E27" s="133">
        <v>0</v>
      </c>
      <c r="F27" s="121">
        <f t="shared" si="2"/>
        <v>0</v>
      </c>
      <c r="G27" s="121">
        <f t="shared" si="3"/>
        <v>0</v>
      </c>
      <c r="H27" s="120">
        <v>18</v>
      </c>
      <c r="I27" s="126">
        <f t="shared" si="4"/>
        <v>0</v>
      </c>
      <c r="J27" s="122" t="str">
        <f t="shared" si="5"/>
        <v>Não</v>
      </c>
      <c r="K27" s="123">
        <f t="shared" si="6"/>
        <v>0</v>
      </c>
      <c r="L27" s="109"/>
      <c r="M27" s="124"/>
      <c r="N27" s="109"/>
      <c r="O27" s="109"/>
      <c r="P27" s="109"/>
      <c r="Q27" s="109"/>
      <c r="R27" s="109"/>
      <c r="S27" s="109"/>
      <c r="T27" s="109"/>
      <c r="U27" s="109"/>
      <c r="V27" s="62"/>
      <c r="W27" s="62"/>
      <c r="X27" s="62"/>
      <c r="Y27" s="62"/>
      <c r="Z27" s="62"/>
    </row>
    <row r="28" spans="1:26" ht="12.75" customHeight="1" x14ac:dyDescent="0.2">
      <c r="A28" s="109"/>
      <c r="B28" s="125">
        <f t="shared" si="7"/>
        <v>0</v>
      </c>
      <c r="C28" s="121">
        <f t="shared" si="0"/>
        <v>0</v>
      </c>
      <c r="D28" s="121">
        <f t="shared" si="1"/>
        <v>0</v>
      </c>
      <c r="E28" s="133">
        <v>0</v>
      </c>
      <c r="F28" s="121">
        <f t="shared" si="2"/>
        <v>0</v>
      </c>
      <c r="G28" s="121">
        <f t="shared" si="3"/>
        <v>0</v>
      </c>
      <c r="H28" s="120">
        <v>19</v>
      </c>
      <c r="I28" s="126">
        <f t="shared" si="4"/>
        <v>0</v>
      </c>
      <c r="J28" s="122" t="str">
        <f t="shared" si="5"/>
        <v>Não</v>
      </c>
      <c r="K28" s="123">
        <f t="shared" si="6"/>
        <v>0</v>
      </c>
      <c r="L28" s="109"/>
      <c r="M28" s="124"/>
      <c r="N28" s="109"/>
      <c r="O28" s="109"/>
      <c r="P28" s="109"/>
      <c r="Q28" s="109"/>
      <c r="R28" s="109"/>
      <c r="S28" s="109"/>
      <c r="T28" s="109"/>
      <c r="U28" s="109"/>
      <c r="V28" s="62"/>
      <c r="W28" s="62"/>
      <c r="X28" s="62"/>
      <c r="Y28" s="62"/>
      <c r="Z28" s="62"/>
    </row>
    <row r="29" spans="1:26" ht="12.75" customHeight="1" x14ac:dyDescent="0.2">
      <c r="A29" s="109"/>
      <c r="B29" s="125">
        <f t="shared" si="7"/>
        <v>0</v>
      </c>
      <c r="C29" s="121">
        <f t="shared" si="0"/>
        <v>0</v>
      </c>
      <c r="D29" s="121">
        <f t="shared" si="1"/>
        <v>0</v>
      </c>
      <c r="E29" s="133">
        <v>0</v>
      </c>
      <c r="F29" s="121">
        <f t="shared" si="2"/>
        <v>0</v>
      </c>
      <c r="G29" s="121">
        <f t="shared" si="3"/>
        <v>0</v>
      </c>
      <c r="H29" s="120">
        <v>20</v>
      </c>
      <c r="I29" s="126">
        <f t="shared" si="4"/>
        <v>0</v>
      </c>
      <c r="J29" s="122" t="str">
        <f t="shared" si="5"/>
        <v>Não</v>
      </c>
      <c r="K29" s="123">
        <f t="shared" si="6"/>
        <v>0</v>
      </c>
      <c r="L29" s="109"/>
      <c r="M29" s="124"/>
      <c r="N29" s="109"/>
      <c r="O29" s="109"/>
      <c r="P29" s="109"/>
      <c r="Q29" s="109"/>
      <c r="R29" s="109"/>
      <c r="S29" s="109"/>
      <c r="T29" s="109"/>
      <c r="U29" s="109"/>
      <c r="V29" s="62"/>
      <c r="W29" s="62"/>
      <c r="X29" s="62"/>
      <c r="Y29" s="62"/>
      <c r="Z29" s="62"/>
    </row>
    <row r="30" spans="1:26" ht="12.75" customHeight="1" x14ac:dyDescent="0.2">
      <c r="A30" s="109"/>
      <c r="B30" s="119"/>
      <c r="C30" s="120"/>
      <c r="D30" s="120"/>
      <c r="E30" s="121"/>
      <c r="F30" s="120"/>
      <c r="G30" s="120"/>
      <c r="H30" s="120"/>
      <c r="I30" s="120"/>
      <c r="J30" s="120"/>
      <c r="K30" s="127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62"/>
      <c r="W30" s="62"/>
      <c r="X30" s="62"/>
      <c r="Y30" s="62"/>
      <c r="Z30" s="62"/>
    </row>
    <row r="31" spans="1:26" ht="12.75" customHeight="1" x14ac:dyDescent="0.2">
      <c r="A31" s="109"/>
      <c r="B31" s="119"/>
      <c r="C31" s="128">
        <f t="shared" ref="C31:F31" si="8">SUM(C10:C29)</f>
        <v>134999998499.85001</v>
      </c>
      <c r="D31" s="128">
        <f t="shared" si="8"/>
        <v>134999998499.85001</v>
      </c>
      <c r="E31" s="128">
        <f t="shared" si="8"/>
        <v>899999989999</v>
      </c>
      <c r="F31" s="128">
        <f t="shared" si="8"/>
        <v>1034999988498.8501</v>
      </c>
      <c r="G31" s="121"/>
      <c r="H31" s="120"/>
      <c r="I31" s="120"/>
      <c r="J31" s="120"/>
      <c r="K31" s="127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62"/>
      <c r="W31" s="62"/>
      <c r="X31" s="62"/>
      <c r="Y31" s="62"/>
      <c r="Z31" s="62"/>
    </row>
    <row r="32" spans="1:26" ht="12.75" customHeight="1" x14ac:dyDescent="0.2">
      <c r="A32" s="109"/>
      <c r="B32" s="129"/>
      <c r="C32" s="130"/>
      <c r="D32" s="130"/>
      <c r="E32" s="130"/>
      <c r="F32" s="130"/>
      <c r="G32" s="130"/>
      <c r="H32" s="130"/>
      <c r="I32" s="130"/>
      <c r="J32" s="130"/>
      <c r="K32" s="131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62"/>
      <c r="W32" s="62"/>
      <c r="X32" s="62"/>
      <c r="Y32" s="62"/>
      <c r="Z32" s="62"/>
    </row>
    <row r="33" spans="1:26" ht="12.75" customHeight="1" x14ac:dyDescent="0.2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62"/>
      <c r="W33" s="62"/>
      <c r="X33" s="62"/>
      <c r="Y33" s="62"/>
      <c r="Z33" s="62"/>
    </row>
    <row r="34" spans="1:26" ht="12.75" customHeight="1" x14ac:dyDescent="0.2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12.75" customHeight="1" x14ac:dyDescent="0.2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12.75" customHeight="1" x14ac:dyDescent="0.2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12.75" customHeight="1" x14ac:dyDescent="0.2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12.75" customHeight="1" x14ac:dyDescent="0.2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12.75" customHeight="1" x14ac:dyDescent="0.2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12.75" customHeight="1" x14ac:dyDescent="0.2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12.75" customHeight="1" x14ac:dyDescent="0.2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12.75" customHeight="1" x14ac:dyDescent="0.2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12.75" customHeight="1" x14ac:dyDescent="0.2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12.75" customHeight="1" x14ac:dyDescent="0.2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12.75" customHeight="1" x14ac:dyDescent="0.2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12.75" customHeight="1" x14ac:dyDescent="0.2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12.75" customHeight="1" x14ac:dyDescent="0.2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12.75" customHeight="1" x14ac:dyDescent="0.2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12.75" customHeight="1" x14ac:dyDescent="0.2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12.75" customHeight="1" x14ac:dyDescent="0.2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12.75" customHeight="1" x14ac:dyDescent="0.2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12.75" customHeight="1" x14ac:dyDescent="0.2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12.75" customHeight="1" x14ac:dyDescent="0.2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12.75" customHeight="1" x14ac:dyDescent="0.2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12.75" customHeight="1" x14ac:dyDescent="0.2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12.75" customHeight="1" x14ac:dyDescent="0.2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12.75" customHeight="1" x14ac:dyDescent="0.2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12.75" customHeight="1" x14ac:dyDescent="0.2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12.75" customHeight="1" x14ac:dyDescent="0.2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12.75" customHeight="1" x14ac:dyDescent="0.2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12.75" customHeight="1" x14ac:dyDescent="0.2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12.75" customHeight="1" x14ac:dyDescent="0.2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12.75" customHeight="1" x14ac:dyDescent="0.2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12.75" customHeight="1" x14ac:dyDescent="0.2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12.75" customHeight="1" x14ac:dyDescent="0.2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12.75" customHeight="1" x14ac:dyDescent="0.2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12.75" customHeight="1" x14ac:dyDescent="0.2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12.75" customHeight="1" x14ac:dyDescent="0.2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12.75" customHeight="1" x14ac:dyDescent="0.2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12.75" customHeight="1" x14ac:dyDescent="0.2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12.75" customHeight="1" x14ac:dyDescent="0.2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12.75" customHeight="1" x14ac:dyDescent="0.2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12.75" customHeight="1" x14ac:dyDescent="0.2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12.75" customHeight="1" x14ac:dyDescent="0.2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12.75" customHeight="1" x14ac:dyDescent="0.2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12.75" customHeight="1" x14ac:dyDescent="0.2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12.75" customHeight="1" x14ac:dyDescent="0.2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12.75" customHeight="1" x14ac:dyDescent="0.2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12.75" customHeight="1" x14ac:dyDescent="0.2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12.75" customHeight="1" x14ac:dyDescent="0.2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12.75" customHeight="1" x14ac:dyDescent="0.2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12.75" customHeight="1" x14ac:dyDescent="0.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12.75" customHeight="1" x14ac:dyDescent="0.2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12.75" customHeight="1" x14ac:dyDescent="0.2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12.75" customHeight="1" x14ac:dyDescent="0.2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12.75" customHeight="1" x14ac:dyDescent="0.2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12.75" customHeight="1" x14ac:dyDescent="0.2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12.75" customHeight="1" x14ac:dyDescent="0.2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12.75" customHeight="1" x14ac:dyDescent="0.2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12.75" customHeight="1" x14ac:dyDescent="0.2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12.75" customHeight="1" x14ac:dyDescent="0.2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12.75" customHeight="1" x14ac:dyDescent="0.2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12.75" customHeight="1" x14ac:dyDescent="0.2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12.75" customHeight="1" x14ac:dyDescent="0.2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12.75" customHeight="1" x14ac:dyDescent="0.2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12.75" customHeight="1" x14ac:dyDescent="0.2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12.75" customHeight="1" x14ac:dyDescent="0.2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12.75" customHeight="1" x14ac:dyDescent="0.2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12.75" customHeight="1" x14ac:dyDescent="0.2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12.75" customHeight="1" x14ac:dyDescent="0.2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12.75" customHeight="1" x14ac:dyDescent="0.2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12.75" customHeight="1" x14ac:dyDescent="0.2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12.75" customHeight="1" x14ac:dyDescent="0.2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12.75" customHeight="1" x14ac:dyDescent="0.2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12.75" customHeight="1" x14ac:dyDescent="0.2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12.75" customHeight="1" x14ac:dyDescent="0.2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12.75" customHeight="1" x14ac:dyDescent="0.2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12.75" customHeight="1" x14ac:dyDescent="0.2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12.75" customHeight="1" x14ac:dyDescent="0.2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12.75" customHeight="1" x14ac:dyDescent="0.2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12.75" customHeight="1" x14ac:dyDescent="0.2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12.75" customHeight="1" x14ac:dyDescent="0.2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12.75" customHeight="1" x14ac:dyDescent="0.2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12.75" customHeight="1" x14ac:dyDescent="0.2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12.75" customHeight="1" x14ac:dyDescent="0.2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12.75" customHeight="1" x14ac:dyDescent="0.2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12.75" customHeight="1" x14ac:dyDescent="0.2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12.75" customHeight="1" x14ac:dyDescent="0.2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12.75" customHeight="1" x14ac:dyDescent="0.2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12.75" customHeight="1" x14ac:dyDescent="0.2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12.75" customHeight="1" x14ac:dyDescent="0.2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12.75" customHeight="1" x14ac:dyDescent="0.2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12.75" customHeight="1" x14ac:dyDescent="0.2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12.75" customHeight="1" x14ac:dyDescent="0.2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12.75" customHeight="1" x14ac:dyDescent="0.2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12.75" customHeight="1" x14ac:dyDescent="0.2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12.75" customHeight="1" x14ac:dyDescent="0.2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12.75" customHeight="1" x14ac:dyDescent="0.2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12.75" customHeight="1" x14ac:dyDescent="0.2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12.75" customHeight="1" x14ac:dyDescent="0.2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12.75" customHeight="1" x14ac:dyDescent="0.2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12.75" customHeight="1" x14ac:dyDescent="0.2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12.75" customHeight="1" x14ac:dyDescent="0.2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12.75" customHeight="1" x14ac:dyDescent="0.2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12.75" customHeight="1" x14ac:dyDescent="0.2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12.75" customHeight="1" x14ac:dyDescent="0.2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12.75" customHeight="1" x14ac:dyDescent="0.2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12.75" customHeight="1" x14ac:dyDescent="0.2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12.75" customHeight="1" x14ac:dyDescent="0.2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12.75" customHeight="1" x14ac:dyDescent="0.2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12.75" customHeight="1" x14ac:dyDescent="0.2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12.75" customHeight="1" x14ac:dyDescent="0.2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12.75" customHeight="1" x14ac:dyDescent="0.2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12.75" customHeight="1" x14ac:dyDescent="0.2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12.75" customHeight="1" x14ac:dyDescent="0.2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12.75" customHeight="1" x14ac:dyDescent="0.2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12.75" customHeight="1" x14ac:dyDescent="0.2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12.75" customHeight="1" x14ac:dyDescent="0.2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12.75" customHeight="1" x14ac:dyDescent="0.2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12.75" customHeight="1" x14ac:dyDescent="0.2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12.75" customHeight="1" x14ac:dyDescent="0.2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12.75" customHeight="1" x14ac:dyDescent="0.2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12.75" customHeight="1" x14ac:dyDescent="0.2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12.75" customHeight="1" x14ac:dyDescent="0.2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12.75" customHeight="1" x14ac:dyDescent="0.2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12.75" customHeight="1" x14ac:dyDescent="0.2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12.75" customHeight="1" x14ac:dyDescent="0.2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12.75" customHeight="1" x14ac:dyDescent="0.2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12.75" customHeight="1" x14ac:dyDescent="0.2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12.75" customHeight="1" x14ac:dyDescent="0.2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12.7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12.7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12.75" customHeight="1" x14ac:dyDescent="0.2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12.75" customHeight="1" x14ac:dyDescent="0.2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12.75" customHeight="1" x14ac:dyDescent="0.2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12.75" customHeight="1" x14ac:dyDescent="0.2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12.75" customHeight="1" x14ac:dyDescent="0.2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12.75" customHeight="1" x14ac:dyDescent="0.2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12.75" customHeight="1" x14ac:dyDescent="0.2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12.75" customHeight="1" x14ac:dyDescent="0.2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12.75" customHeight="1" x14ac:dyDescent="0.2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12.75" customHeight="1" x14ac:dyDescent="0.2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12.75" customHeight="1" x14ac:dyDescent="0.2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12.75" customHeight="1" x14ac:dyDescent="0.2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12.75" customHeight="1" x14ac:dyDescent="0.2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12.75" customHeight="1" x14ac:dyDescent="0.2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12.75" customHeight="1" x14ac:dyDescent="0.2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12.75" customHeight="1" x14ac:dyDescent="0.2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12.75" customHeight="1" x14ac:dyDescent="0.2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12.75" customHeight="1" x14ac:dyDescent="0.2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12.75" customHeight="1" x14ac:dyDescent="0.2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12.75" customHeight="1" x14ac:dyDescent="0.2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12.75" customHeight="1" x14ac:dyDescent="0.2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12.75" customHeight="1" x14ac:dyDescent="0.2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12.75" customHeight="1" x14ac:dyDescent="0.2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12.7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12.75" customHeight="1" x14ac:dyDescent="0.2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12.75" customHeight="1" x14ac:dyDescent="0.2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12.75" customHeight="1" x14ac:dyDescent="0.2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12.75" customHeight="1" x14ac:dyDescent="0.2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12.75" customHeight="1" x14ac:dyDescent="0.2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12.75" customHeight="1" x14ac:dyDescent="0.2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12.75" customHeight="1" x14ac:dyDescent="0.2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12.75" customHeight="1" x14ac:dyDescent="0.2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12.75" customHeight="1" x14ac:dyDescent="0.2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12.75" customHeight="1" x14ac:dyDescent="0.2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12.75" customHeight="1" x14ac:dyDescent="0.2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12.75" customHeight="1" x14ac:dyDescent="0.2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12.75" customHeight="1" x14ac:dyDescent="0.2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12.75" customHeight="1" x14ac:dyDescent="0.2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12.75" customHeight="1" x14ac:dyDescent="0.2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12.75" customHeight="1" x14ac:dyDescent="0.2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12.75" customHeight="1" x14ac:dyDescent="0.2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12.75" customHeight="1" x14ac:dyDescent="0.2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12.75" customHeight="1" x14ac:dyDescent="0.2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12.75" customHeight="1" x14ac:dyDescent="0.2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12.75" customHeight="1" x14ac:dyDescent="0.2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12.75" customHeight="1" x14ac:dyDescent="0.2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12.75" customHeight="1" x14ac:dyDescent="0.2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12.75" customHeight="1" x14ac:dyDescent="0.2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12.75" customHeight="1" x14ac:dyDescent="0.2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12.75" customHeight="1" x14ac:dyDescent="0.2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12.75" customHeight="1" x14ac:dyDescent="0.2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12.75" customHeight="1" x14ac:dyDescent="0.2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12.75" customHeight="1" x14ac:dyDescent="0.2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12.75" customHeight="1" x14ac:dyDescent="0.2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12.75" customHeight="1" x14ac:dyDescent="0.2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12.7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12.75" customHeight="1" x14ac:dyDescent="0.2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12.75" customHeight="1" x14ac:dyDescent="0.2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12.75" customHeight="1" x14ac:dyDescent="0.2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12.75" customHeight="1" x14ac:dyDescent="0.2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12.75" customHeight="1" x14ac:dyDescent="0.2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12.75" customHeight="1" x14ac:dyDescent="0.2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12.75" customHeight="1" x14ac:dyDescent="0.2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12.75" customHeight="1" x14ac:dyDescent="0.2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12.75" customHeight="1" x14ac:dyDescent="0.2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12.75" customHeight="1" x14ac:dyDescent="0.2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12.75" customHeight="1" x14ac:dyDescent="0.2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12.75" customHeight="1" x14ac:dyDescent="0.2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12.75" customHeight="1" x14ac:dyDescent="0.2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12.75" customHeight="1" x14ac:dyDescent="0.2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12.75" customHeight="1" x14ac:dyDescent="0.2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12.7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12.75" customHeight="1" x14ac:dyDescent="0.2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12.75" customHeight="1" x14ac:dyDescent="0.2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12.75" customHeight="1" x14ac:dyDescent="0.2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12.75" customHeight="1" x14ac:dyDescent="0.2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12.75" customHeight="1" x14ac:dyDescent="0.2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12.75" customHeight="1" x14ac:dyDescent="0.2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12.75" customHeight="1" x14ac:dyDescent="0.2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12.75" customHeight="1" x14ac:dyDescent="0.2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12.75" customHeight="1" x14ac:dyDescent="0.2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12.75" customHeight="1" x14ac:dyDescent="0.2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12.75" customHeight="1" x14ac:dyDescent="0.2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12.75" customHeight="1" x14ac:dyDescent="0.2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12.75" customHeight="1" x14ac:dyDescent="0.2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12.75" customHeight="1" x14ac:dyDescent="0.2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12.75" customHeight="1" x14ac:dyDescent="0.2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12.7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12.75" customHeight="1" x14ac:dyDescent="0.2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12.75" customHeight="1" x14ac:dyDescent="0.2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12.75" customHeight="1" x14ac:dyDescent="0.2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12.75" customHeight="1" x14ac:dyDescent="0.2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12.75" customHeight="1" x14ac:dyDescent="0.2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12.75" customHeight="1" x14ac:dyDescent="0.2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12.75" customHeight="1" x14ac:dyDescent="0.2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12.75" customHeight="1" x14ac:dyDescent="0.2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12.75" customHeight="1" x14ac:dyDescent="0.2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12.75" customHeight="1" x14ac:dyDescent="0.2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12.75" customHeight="1" x14ac:dyDescent="0.2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12.75" customHeight="1" x14ac:dyDescent="0.2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12.75" customHeight="1" x14ac:dyDescent="0.2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12.75" customHeight="1" x14ac:dyDescent="0.2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12.75" customHeight="1" x14ac:dyDescent="0.2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12.75" customHeight="1" x14ac:dyDescent="0.2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12.75" customHeight="1" x14ac:dyDescent="0.2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12.75" customHeight="1" x14ac:dyDescent="0.2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12.75" customHeight="1" x14ac:dyDescent="0.2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12.75" customHeight="1" x14ac:dyDescent="0.2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12.75" customHeight="1" x14ac:dyDescent="0.2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12.75" customHeight="1" x14ac:dyDescent="0.2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12.75" customHeight="1" x14ac:dyDescent="0.2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12.75" customHeight="1" x14ac:dyDescent="0.2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12.75" customHeight="1" x14ac:dyDescent="0.2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12.75" customHeight="1" x14ac:dyDescent="0.2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12.75" customHeight="1" x14ac:dyDescent="0.2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12.75" customHeight="1" x14ac:dyDescent="0.2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12.75" customHeight="1" x14ac:dyDescent="0.2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12.75" customHeight="1" x14ac:dyDescent="0.2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12.7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12.7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12.7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12.7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12.75" customHeight="1" x14ac:dyDescent="0.2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12.75" customHeight="1" x14ac:dyDescent="0.2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12.75" customHeight="1" x14ac:dyDescent="0.2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12.75" customHeight="1" x14ac:dyDescent="0.2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12.75" customHeight="1" x14ac:dyDescent="0.2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12.75" customHeight="1" x14ac:dyDescent="0.2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12.7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12.7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12.75" customHeight="1" x14ac:dyDescent="0.2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12.75" customHeight="1" x14ac:dyDescent="0.2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12.75" customHeight="1" x14ac:dyDescent="0.2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2.75" customHeight="1" x14ac:dyDescent="0.2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12.75" customHeight="1" x14ac:dyDescent="0.2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12.75" customHeight="1" x14ac:dyDescent="0.2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12.75" customHeight="1" x14ac:dyDescent="0.2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12.75" customHeight="1" x14ac:dyDescent="0.2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12.75" customHeight="1" x14ac:dyDescent="0.2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12.75" customHeight="1" x14ac:dyDescent="0.2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12.75" customHeight="1" x14ac:dyDescent="0.2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12.75" customHeight="1" x14ac:dyDescent="0.2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12.75" customHeight="1" x14ac:dyDescent="0.2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12.75" customHeight="1" x14ac:dyDescent="0.2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12.75" customHeight="1" x14ac:dyDescent="0.2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12.75" customHeight="1" x14ac:dyDescent="0.2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12.75" customHeight="1" x14ac:dyDescent="0.2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12.75" customHeight="1" x14ac:dyDescent="0.2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12.75" customHeight="1" x14ac:dyDescent="0.2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12.75" customHeight="1" x14ac:dyDescent="0.2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12.75" customHeight="1" x14ac:dyDescent="0.2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12.75" customHeight="1" x14ac:dyDescent="0.2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12.75" customHeight="1" x14ac:dyDescent="0.2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12.75" customHeight="1" x14ac:dyDescent="0.2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2.75" customHeight="1" x14ac:dyDescent="0.2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12.75" customHeight="1" x14ac:dyDescent="0.2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12.75" customHeight="1" x14ac:dyDescent="0.2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12.75" customHeight="1" x14ac:dyDescent="0.2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12.75" customHeight="1" x14ac:dyDescent="0.2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12.75" customHeight="1" x14ac:dyDescent="0.2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12.75" customHeight="1" x14ac:dyDescent="0.2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12.75" customHeight="1" x14ac:dyDescent="0.2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12.75" customHeight="1" x14ac:dyDescent="0.2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12.75" customHeight="1" x14ac:dyDescent="0.2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12.75" customHeight="1" x14ac:dyDescent="0.2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12.75" customHeight="1" x14ac:dyDescent="0.2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12.75" customHeight="1" x14ac:dyDescent="0.2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12.75" customHeight="1" x14ac:dyDescent="0.2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12.75" customHeight="1" x14ac:dyDescent="0.2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12.75" customHeight="1" x14ac:dyDescent="0.2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12.75" customHeight="1" x14ac:dyDescent="0.2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12.75" customHeight="1" x14ac:dyDescent="0.2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12.75" customHeight="1" x14ac:dyDescent="0.2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12.75" customHeight="1" x14ac:dyDescent="0.2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12.75" customHeight="1" x14ac:dyDescent="0.2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2.75" customHeight="1" x14ac:dyDescent="0.2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12.75" customHeight="1" x14ac:dyDescent="0.2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12.75" customHeight="1" x14ac:dyDescent="0.2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12.75" customHeight="1" x14ac:dyDescent="0.2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12.75" customHeight="1" x14ac:dyDescent="0.2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12.75" customHeight="1" x14ac:dyDescent="0.2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12.75" customHeight="1" x14ac:dyDescent="0.2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12.75" customHeight="1" x14ac:dyDescent="0.2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12.75" customHeight="1" x14ac:dyDescent="0.2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12.75" customHeight="1" x14ac:dyDescent="0.2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12.75" customHeight="1" x14ac:dyDescent="0.2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12.75" customHeight="1" x14ac:dyDescent="0.2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12.75" customHeight="1" x14ac:dyDescent="0.2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12.75" customHeight="1" x14ac:dyDescent="0.2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12.75" customHeight="1" x14ac:dyDescent="0.2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12.75" customHeight="1" x14ac:dyDescent="0.2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12.75" customHeight="1" x14ac:dyDescent="0.2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12.75" customHeight="1" x14ac:dyDescent="0.2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12.75" customHeight="1" x14ac:dyDescent="0.2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12.75" customHeight="1" x14ac:dyDescent="0.2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12.75" customHeight="1" x14ac:dyDescent="0.2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2.75" customHeight="1" x14ac:dyDescent="0.2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12.75" customHeight="1" x14ac:dyDescent="0.2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12.75" customHeight="1" x14ac:dyDescent="0.2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12.75" customHeight="1" x14ac:dyDescent="0.2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12.75" customHeight="1" x14ac:dyDescent="0.2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12.75" customHeight="1" x14ac:dyDescent="0.2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12.75" customHeight="1" x14ac:dyDescent="0.2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12.75" customHeight="1" x14ac:dyDescent="0.2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12.75" customHeight="1" x14ac:dyDescent="0.2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12.75" customHeight="1" x14ac:dyDescent="0.2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12.75" customHeight="1" x14ac:dyDescent="0.2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12.75" customHeight="1" x14ac:dyDescent="0.2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12.75" customHeight="1" x14ac:dyDescent="0.2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12.75" customHeight="1" x14ac:dyDescent="0.2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12.75" customHeight="1" x14ac:dyDescent="0.2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12.75" customHeight="1" x14ac:dyDescent="0.2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12.75" customHeight="1" x14ac:dyDescent="0.2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12.75" customHeight="1" x14ac:dyDescent="0.2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12.75" customHeight="1" x14ac:dyDescent="0.2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12.75" customHeight="1" x14ac:dyDescent="0.2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12.75" customHeight="1" x14ac:dyDescent="0.2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2.75" customHeight="1" x14ac:dyDescent="0.2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12.75" customHeight="1" x14ac:dyDescent="0.2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12.75" customHeight="1" x14ac:dyDescent="0.2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12.75" customHeight="1" x14ac:dyDescent="0.2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12.75" customHeight="1" x14ac:dyDescent="0.2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12.75" customHeight="1" x14ac:dyDescent="0.2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12.75" customHeight="1" x14ac:dyDescent="0.2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12.75" customHeight="1" x14ac:dyDescent="0.2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12.75" customHeight="1" x14ac:dyDescent="0.2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12.75" customHeight="1" x14ac:dyDescent="0.2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12.75" customHeight="1" x14ac:dyDescent="0.2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12.75" customHeight="1" x14ac:dyDescent="0.2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12.75" customHeight="1" x14ac:dyDescent="0.2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12.75" customHeight="1" x14ac:dyDescent="0.2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12.75" customHeight="1" x14ac:dyDescent="0.2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12.75" customHeight="1" x14ac:dyDescent="0.2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12.75" customHeight="1" x14ac:dyDescent="0.2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12.75" customHeight="1" x14ac:dyDescent="0.2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12.75" customHeight="1" x14ac:dyDescent="0.2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12.75" customHeight="1" x14ac:dyDescent="0.2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12.75" customHeight="1" x14ac:dyDescent="0.2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2.75" customHeight="1" x14ac:dyDescent="0.2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12.75" customHeight="1" x14ac:dyDescent="0.2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12.75" customHeight="1" x14ac:dyDescent="0.2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12.75" customHeight="1" x14ac:dyDescent="0.2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12.75" customHeight="1" x14ac:dyDescent="0.2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12.75" customHeight="1" x14ac:dyDescent="0.2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12.75" customHeight="1" x14ac:dyDescent="0.2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12.75" customHeight="1" x14ac:dyDescent="0.2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12.75" customHeight="1" x14ac:dyDescent="0.2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12.75" customHeight="1" x14ac:dyDescent="0.2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12.75" customHeight="1" x14ac:dyDescent="0.2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12.75" customHeight="1" x14ac:dyDescent="0.2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12.75" customHeight="1" x14ac:dyDescent="0.2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12.75" customHeight="1" x14ac:dyDescent="0.2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12.75" customHeight="1" x14ac:dyDescent="0.2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12.75" customHeight="1" x14ac:dyDescent="0.2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12.75" customHeight="1" x14ac:dyDescent="0.2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12.75" customHeight="1" x14ac:dyDescent="0.2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12.75" customHeight="1" x14ac:dyDescent="0.2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12.75" customHeight="1" x14ac:dyDescent="0.2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12.75" customHeight="1" x14ac:dyDescent="0.2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2.75" customHeight="1" x14ac:dyDescent="0.2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12.75" customHeight="1" x14ac:dyDescent="0.2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12.75" customHeight="1" x14ac:dyDescent="0.2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12.75" customHeight="1" x14ac:dyDescent="0.2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12.75" customHeight="1" x14ac:dyDescent="0.2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12.75" customHeight="1" x14ac:dyDescent="0.2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12.75" customHeight="1" x14ac:dyDescent="0.2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12.75" customHeight="1" x14ac:dyDescent="0.2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12.75" customHeight="1" x14ac:dyDescent="0.2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12.75" customHeight="1" x14ac:dyDescent="0.2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12.75" customHeight="1" x14ac:dyDescent="0.2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12.75" customHeight="1" x14ac:dyDescent="0.2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12.75" customHeight="1" x14ac:dyDescent="0.2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12.75" customHeight="1" x14ac:dyDescent="0.2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12.75" customHeight="1" x14ac:dyDescent="0.2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12.75" customHeight="1" x14ac:dyDescent="0.2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12.75" customHeight="1" x14ac:dyDescent="0.2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12.75" customHeight="1" x14ac:dyDescent="0.2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12.75" customHeight="1" x14ac:dyDescent="0.2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12.75" customHeight="1" x14ac:dyDescent="0.2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12.75" customHeight="1" x14ac:dyDescent="0.2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2.75" customHeight="1" x14ac:dyDescent="0.2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12.75" customHeight="1" x14ac:dyDescent="0.2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12.75" customHeight="1" x14ac:dyDescent="0.2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12.75" customHeight="1" x14ac:dyDescent="0.2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12.75" customHeight="1" x14ac:dyDescent="0.2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12.75" customHeight="1" x14ac:dyDescent="0.2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12.75" customHeight="1" x14ac:dyDescent="0.2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12.75" customHeight="1" x14ac:dyDescent="0.2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12.75" customHeight="1" x14ac:dyDescent="0.2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12.75" customHeight="1" x14ac:dyDescent="0.2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12.75" customHeight="1" x14ac:dyDescent="0.2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12.75" customHeight="1" x14ac:dyDescent="0.2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12.75" customHeight="1" x14ac:dyDescent="0.2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12.75" customHeight="1" x14ac:dyDescent="0.2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12.75" customHeight="1" x14ac:dyDescent="0.2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12.75" customHeight="1" x14ac:dyDescent="0.2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12.75" customHeight="1" x14ac:dyDescent="0.2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12.75" customHeight="1" x14ac:dyDescent="0.2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12.75" customHeight="1" x14ac:dyDescent="0.2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12.75" customHeight="1" x14ac:dyDescent="0.2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12.75" customHeight="1" x14ac:dyDescent="0.2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2.75" customHeight="1" x14ac:dyDescent="0.2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12.75" customHeight="1" x14ac:dyDescent="0.2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12.75" customHeight="1" x14ac:dyDescent="0.2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12.75" customHeight="1" x14ac:dyDescent="0.2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12.75" customHeight="1" x14ac:dyDescent="0.2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12.75" customHeight="1" x14ac:dyDescent="0.2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12.75" customHeight="1" x14ac:dyDescent="0.2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12.75" customHeight="1" x14ac:dyDescent="0.2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12.75" customHeight="1" x14ac:dyDescent="0.2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12.75" customHeight="1" x14ac:dyDescent="0.2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12.75" customHeight="1" x14ac:dyDescent="0.2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12.75" customHeight="1" x14ac:dyDescent="0.2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12.75" customHeight="1" x14ac:dyDescent="0.2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12.75" customHeight="1" x14ac:dyDescent="0.2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12.75" customHeight="1" x14ac:dyDescent="0.2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12.75" customHeight="1" x14ac:dyDescent="0.2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12.75" customHeight="1" x14ac:dyDescent="0.2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12.75" customHeight="1" x14ac:dyDescent="0.2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12.75" customHeight="1" x14ac:dyDescent="0.2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12.75" customHeight="1" x14ac:dyDescent="0.2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12.75" customHeight="1" x14ac:dyDescent="0.2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2.75" customHeight="1" x14ac:dyDescent="0.2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12.75" customHeight="1" x14ac:dyDescent="0.2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12.75" customHeight="1" x14ac:dyDescent="0.2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12.75" customHeight="1" x14ac:dyDescent="0.2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12.75" customHeight="1" x14ac:dyDescent="0.2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12.75" customHeight="1" x14ac:dyDescent="0.2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12.75" customHeight="1" x14ac:dyDescent="0.2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12.75" customHeight="1" x14ac:dyDescent="0.2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12.75" customHeight="1" x14ac:dyDescent="0.2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12.75" customHeight="1" x14ac:dyDescent="0.2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12.75" customHeight="1" x14ac:dyDescent="0.2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12.75" customHeight="1" x14ac:dyDescent="0.2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12.75" customHeight="1" x14ac:dyDescent="0.2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12.75" customHeight="1" x14ac:dyDescent="0.2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12.75" customHeight="1" x14ac:dyDescent="0.2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12.75" customHeight="1" x14ac:dyDescent="0.2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12.75" customHeight="1" x14ac:dyDescent="0.2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12.75" customHeight="1" x14ac:dyDescent="0.2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12.75" customHeight="1" x14ac:dyDescent="0.2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12.75" customHeight="1" x14ac:dyDescent="0.2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12.75" customHeight="1" x14ac:dyDescent="0.2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2.75" customHeight="1" x14ac:dyDescent="0.2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12.75" customHeight="1" x14ac:dyDescent="0.2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12.75" customHeight="1" x14ac:dyDescent="0.2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12.75" customHeight="1" x14ac:dyDescent="0.2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12.75" customHeight="1" x14ac:dyDescent="0.2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12.75" customHeight="1" x14ac:dyDescent="0.2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12.75" customHeight="1" x14ac:dyDescent="0.2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12.75" customHeight="1" x14ac:dyDescent="0.2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12.75" customHeight="1" x14ac:dyDescent="0.2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12.75" customHeight="1" x14ac:dyDescent="0.2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12.75" customHeight="1" x14ac:dyDescent="0.2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12.75" customHeight="1" x14ac:dyDescent="0.2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12.75" customHeight="1" x14ac:dyDescent="0.2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12.75" customHeight="1" x14ac:dyDescent="0.2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12.75" customHeight="1" x14ac:dyDescent="0.2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12.75" customHeight="1" x14ac:dyDescent="0.2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12.75" customHeight="1" x14ac:dyDescent="0.2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12.75" customHeight="1" x14ac:dyDescent="0.2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12.75" customHeight="1" x14ac:dyDescent="0.2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12.75" customHeight="1" x14ac:dyDescent="0.2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12.75" customHeight="1" x14ac:dyDescent="0.2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2.75" customHeight="1" x14ac:dyDescent="0.2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12.75" customHeight="1" x14ac:dyDescent="0.2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12.75" customHeight="1" x14ac:dyDescent="0.2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12.75" customHeight="1" x14ac:dyDescent="0.2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12.75" customHeight="1" x14ac:dyDescent="0.2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12.75" customHeight="1" x14ac:dyDescent="0.2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12.75" customHeight="1" x14ac:dyDescent="0.2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12.75" customHeight="1" x14ac:dyDescent="0.2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12.75" customHeight="1" x14ac:dyDescent="0.2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12.75" customHeight="1" x14ac:dyDescent="0.2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12.75" customHeight="1" x14ac:dyDescent="0.2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12.75" customHeight="1" x14ac:dyDescent="0.2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12.75" customHeight="1" x14ac:dyDescent="0.2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12.75" customHeight="1" x14ac:dyDescent="0.2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12.75" customHeight="1" x14ac:dyDescent="0.2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12.75" customHeight="1" x14ac:dyDescent="0.2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12.75" customHeight="1" x14ac:dyDescent="0.2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12.75" customHeight="1" x14ac:dyDescent="0.2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12.75" customHeight="1" x14ac:dyDescent="0.2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12.75" customHeight="1" x14ac:dyDescent="0.2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12.75" customHeight="1" x14ac:dyDescent="0.2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2.75" customHeight="1" x14ac:dyDescent="0.2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12.75" customHeight="1" x14ac:dyDescent="0.2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12.75" customHeight="1" x14ac:dyDescent="0.2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12.75" customHeight="1" x14ac:dyDescent="0.2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12.75" customHeight="1" x14ac:dyDescent="0.2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12.75" customHeight="1" x14ac:dyDescent="0.2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12.75" customHeight="1" x14ac:dyDescent="0.2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12.75" customHeight="1" x14ac:dyDescent="0.2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12.75" customHeight="1" x14ac:dyDescent="0.2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12.75" customHeight="1" x14ac:dyDescent="0.2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12.75" customHeight="1" x14ac:dyDescent="0.2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12.75" customHeight="1" x14ac:dyDescent="0.2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12.75" customHeight="1" x14ac:dyDescent="0.2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12.75" customHeight="1" x14ac:dyDescent="0.2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12.75" customHeight="1" x14ac:dyDescent="0.2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12.75" customHeight="1" x14ac:dyDescent="0.2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12.75" customHeight="1" x14ac:dyDescent="0.2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12.75" customHeight="1" x14ac:dyDescent="0.2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12.75" customHeight="1" x14ac:dyDescent="0.2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12.75" customHeight="1" x14ac:dyDescent="0.2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12.75" customHeight="1" x14ac:dyDescent="0.2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2.75" customHeight="1" x14ac:dyDescent="0.2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12.75" customHeight="1" x14ac:dyDescent="0.2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12.75" customHeight="1" x14ac:dyDescent="0.2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12.75" customHeight="1" x14ac:dyDescent="0.2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12.75" customHeight="1" x14ac:dyDescent="0.2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12.75" customHeight="1" x14ac:dyDescent="0.2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12.75" customHeight="1" x14ac:dyDescent="0.2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12.75" customHeight="1" x14ac:dyDescent="0.2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12.75" customHeight="1" x14ac:dyDescent="0.2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12.75" customHeight="1" x14ac:dyDescent="0.2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12.75" customHeight="1" x14ac:dyDescent="0.2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12.75" customHeight="1" x14ac:dyDescent="0.2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12.75" customHeight="1" x14ac:dyDescent="0.2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12.75" customHeight="1" x14ac:dyDescent="0.2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12.75" customHeight="1" x14ac:dyDescent="0.2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12.75" customHeight="1" x14ac:dyDescent="0.2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12.75" customHeight="1" x14ac:dyDescent="0.2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12.75" customHeight="1" x14ac:dyDescent="0.2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12.75" customHeight="1" x14ac:dyDescent="0.2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12.75" customHeight="1" x14ac:dyDescent="0.2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12.75" customHeight="1" x14ac:dyDescent="0.2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2.75" customHeight="1" x14ac:dyDescent="0.2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12.75" customHeight="1" x14ac:dyDescent="0.2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12.75" customHeight="1" x14ac:dyDescent="0.2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12.75" customHeight="1" x14ac:dyDescent="0.2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12.75" customHeight="1" x14ac:dyDescent="0.2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12.75" customHeight="1" x14ac:dyDescent="0.2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12.75" customHeight="1" x14ac:dyDescent="0.2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12.75" customHeight="1" x14ac:dyDescent="0.2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12.75" customHeight="1" x14ac:dyDescent="0.2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12.75" customHeight="1" x14ac:dyDescent="0.2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12.75" customHeight="1" x14ac:dyDescent="0.2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12.75" customHeight="1" x14ac:dyDescent="0.2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12.75" customHeight="1" x14ac:dyDescent="0.2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12.75" customHeight="1" x14ac:dyDescent="0.2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12.75" customHeight="1" x14ac:dyDescent="0.2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12.75" customHeight="1" x14ac:dyDescent="0.2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12.75" customHeight="1" x14ac:dyDescent="0.2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12.75" customHeight="1" x14ac:dyDescent="0.2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12.75" customHeight="1" x14ac:dyDescent="0.2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12.75" customHeight="1" x14ac:dyDescent="0.2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12.75" customHeight="1" x14ac:dyDescent="0.2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2.75" customHeight="1" x14ac:dyDescent="0.2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12.75" customHeight="1" x14ac:dyDescent="0.2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12.75" customHeight="1" x14ac:dyDescent="0.2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12.75" customHeight="1" x14ac:dyDescent="0.2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12.75" customHeight="1" x14ac:dyDescent="0.2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12.75" customHeight="1" x14ac:dyDescent="0.2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12.75" customHeight="1" x14ac:dyDescent="0.2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12.75" customHeight="1" x14ac:dyDescent="0.2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12.75" customHeight="1" x14ac:dyDescent="0.2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12.75" customHeight="1" x14ac:dyDescent="0.2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12.75" customHeight="1" x14ac:dyDescent="0.2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12.75" customHeight="1" x14ac:dyDescent="0.2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12.75" customHeight="1" x14ac:dyDescent="0.2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12.75" customHeight="1" x14ac:dyDescent="0.2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12.75" customHeight="1" x14ac:dyDescent="0.2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12.75" customHeight="1" x14ac:dyDescent="0.2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12.75" customHeight="1" x14ac:dyDescent="0.2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12.75" customHeight="1" x14ac:dyDescent="0.2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12.75" customHeight="1" x14ac:dyDescent="0.2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12.75" customHeight="1" x14ac:dyDescent="0.2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12.75" customHeight="1" x14ac:dyDescent="0.2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2.75" customHeight="1" x14ac:dyDescent="0.2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12.75" customHeight="1" x14ac:dyDescent="0.2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12.75" customHeight="1" x14ac:dyDescent="0.2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12.75" customHeight="1" x14ac:dyDescent="0.2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12.75" customHeight="1" x14ac:dyDescent="0.2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12.75" customHeight="1" x14ac:dyDescent="0.2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12.75" customHeight="1" x14ac:dyDescent="0.2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12.75" customHeight="1" x14ac:dyDescent="0.2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12.75" customHeight="1" x14ac:dyDescent="0.2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12.75" customHeight="1" x14ac:dyDescent="0.2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12.75" customHeight="1" x14ac:dyDescent="0.2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12.75" customHeight="1" x14ac:dyDescent="0.2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12.75" customHeight="1" x14ac:dyDescent="0.2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12.75" customHeight="1" x14ac:dyDescent="0.2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12.75" customHeight="1" x14ac:dyDescent="0.2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12.75" customHeight="1" x14ac:dyDescent="0.2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12.75" customHeight="1" x14ac:dyDescent="0.2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12.75" customHeight="1" x14ac:dyDescent="0.2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12.75" customHeight="1" x14ac:dyDescent="0.2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12.75" customHeight="1" x14ac:dyDescent="0.2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12.75" customHeight="1" x14ac:dyDescent="0.2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12.75" customHeight="1" x14ac:dyDescent="0.2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12.75" customHeight="1" x14ac:dyDescent="0.2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12.75" customHeight="1" x14ac:dyDescent="0.2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12.75" customHeight="1" x14ac:dyDescent="0.2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12.75" customHeight="1" x14ac:dyDescent="0.2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12.75" customHeight="1" x14ac:dyDescent="0.2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12.75" customHeight="1" x14ac:dyDescent="0.2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12.75" customHeight="1" x14ac:dyDescent="0.2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12.75" customHeight="1" x14ac:dyDescent="0.2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12.75" customHeight="1" x14ac:dyDescent="0.2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12.75" customHeight="1" x14ac:dyDescent="0.2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12.75" customHeight="1" x14ac:dyDescent="0.2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12.75" customHeight="1" x14ac:dyDescent="0.2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12.75" customHeight="1" x14ac:dyDescent="0.2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12.75" customHeight="1" x14ac:dyDescent="0.2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12.75" customHeight="1" x14ac:dyDescent="0.2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12.75" customHeight="1" x14ac:dyDescent="0.2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12.75" customHeight="1" x14ac:dyDescent="0.2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12.75" customHeight="1" x14ac:dyDescent="0.2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12.75" customHeight="1" x14ac:dyDescent="0.2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12.75" customHeight="1" x14ac:dyDescent="0.2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12.75" customHeight="1" x14ac:dyDescent="0.2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12.75" customHeight="1" x14ac:dyDescent="0.2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12.75" customHeight="1" x14ac:dyDescent="0.2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12.75" customHeight="1" x14ac:dyDescent="0.2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12.75" customHeight="1" x14ac:dyDescent="0.2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12.75" customHeight="1" x14ac:dyDescent="0.2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12.75" customHeight="1" x14ac:dyDescent="0.2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12.75" customHeight="1" x14ac:dyDescent="0.2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12.75" customHeight="1" x14ac:dyDescent="0.2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12.75" customHeight="1" x14ac:dyDescent="0.2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12.75" customHeight="1" x14ac:dyDescent="0.2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12.75" customHeight="1" x14ac:dyDescent="0.2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12.75" customHeight="1" x14ac:dyDescent="0.2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12.75" customHeight="1" x14ac:dyDescent="0.2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12.75" customHeight="1" x14ac:dyDescent="0.2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12.75" customHeight="1" x14ac:dyDescent="0.2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12.75" customHeight="1" x14ac:dyDescent="0.2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12.75" customHeight="1" x14ac:dyDescent="0.2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12.75" customHeight="1" x14ac:dyDescent="0.2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12.75" customHeight="1" x14ac:dyDescent="0.2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12.75" customHeight="1" x14ac:dyDescent="0.2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12.75" customHeight="1" x14ac:dyDescent="0.2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12.75" customHeight="1" x14ac:dyDescent="0.2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12.75" customHeight="1" x14ac:dyDescent="0.2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12.75" customHeight="1" x14ac:dyDescent="0.2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12.75" customHeight="1" x14ac:dyDescent="0.2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12.75" customHeight="1" x14ac:dyDescent="0.2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12.75" customHeight="1" x14ac:dyDescent="0.2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12.75" customHeight="1" x14ac:dyDescent="0.2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12.75" customHeight="1" x14ac:dyDescent="0.2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12.75" customHeight="1" x14ac:dyDescent="0.2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12.75" customHeight="1" x14ac:dyDescent="0.2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12.75" customHeight="1" x14ac:dyDescent="0.2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12.75" customHeight="1" x14ac:dyDescent="0.2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12.75" customHeight="1" x14ac:dyDescent="0.2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12.75" customHeight="1" x14ac:dyDescent="0.2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12.75" customHeight="1" x14ac:dyDescent="0.2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12.75" customHeight="1" x14ac:dyDescent="0.2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12.75" customHeight="1" x14ac:dyDescent="0.2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12.75" customHeight="1" x14ac:dyDescent="0.2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12.75" customHeight="1" x14ac:dyDescent="0.2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12.75" customHeight="1" x14ac:dyDescent="0.2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12.75" customHeight="1" x14ac:dyDescent="0.2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12.75" customHeight="1" x14ac:dyDescent="0.2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12.75" customHeight="1" x14ac:dyDescent="0.2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12.75" customHeight="1" x14ac:dyDescent="0.2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12.75" customHeight="1" x14ac:dyDescent="0.2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12.75" customHeight="1" x14ac:dyDescent="0.2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12.75" customHeight="1" x14ac:dyDescent="0.2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12.75" customHeight="1" x14ac:dyDescent="0.2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12.75" customHeight="1" x14ac:dyDescent="0.2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12.75" customHeight="1" x14ac:dyDescent="0.2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12.75" customHeight="1" x14ac:dyDescent="0.2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12.75" customHeight="1" x14ac:dyDescent="0.2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12.75" customHeight="1" x14ac:dyDescent="0.2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12.75" customHeight="1" x14ac:dyDescent="0.2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12.75" customHeight="1" x14ac:dyDescent="0.2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12.75" customHeight="1" x14ac:dyDescent="0.2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12.75" customHeight="1" x14ac:dyDescent="0.2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12.75" customHeight="1" x14ac:dyDescent="0.2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12.75" customHeight="1" x14ac:dyDescent="0.2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12.75" customHeight="1" x14ac:dyDescent="0.2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12.75" customHeight="1" x14ac:dyDescent="0.2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12.75" customHeight="1" x14ac:dyDescent="0.2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12.75" customHeight="1" x14ac:dyDescent="0.2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12.75" customHeight="1" x14ac:dyDescent="0.2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12.75" customHeight="1" x14ac:dyDescent="0.2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12.75" customHeight="1" x14ac:dyDescent="0.2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12.75" customHeight="1" x14ac:dyDescent="0.2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12.75" customHeight="1" x14ac:dyDescent="0.2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12.75" customHeight="1" x14ac:dyDescent="0.2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12.75" customHeight="1" x14ac:dyDescent="0.2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12.75" customHeight="1" x14ac:dyDescent="0.2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12.75" customHeight="1" x14ac:dyDescent="0.2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12.75" customHeight="1" x14ac:dyDescent="0.2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12.75" customHeight="1" x14ac:dyDescent="0.2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12.75" customHeight="1" x14ac:dyDescent="0.2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12.75" customHeight="1" x14ac:dyDescent="0.2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12.75" customHeight="1" x14ac:dyDescent="0.2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12.75" customHeight="1" x14ac:dyDescent="0.2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12.75" customHeight="1" x14ac:dyDescent="0.2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12.75" customHeight="1" x14ac:dyDescent="0.2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12.75" customHeight="1" x14ac:dyDescent="0.2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12.75" customHeight="1" x14ac:dyDescent="0.2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12.75" customHeight="1" x14ac:dyDescent="0.2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12.75" customHeight="1" x14ac:dyDescent="0.2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12.75" customHeight="1" x14ac:dyDescent="0.2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12.75" customHeight="1" x14ac:dyDescent="0.2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12.75" customHeight="1" x14ac:dyDescent="0.2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12.75" customHeight="1" x14ac:dyDescent="0.2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12.75" customHeight="1" x14ac:dyDescent="0.2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12.75" customHeight="1" x14ac:dyDescent="0.2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12.75" customHeight="1" x14ac:dyDescent="0.2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12.75" customHeight="1" x14ac:dyDescent="0.2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12.75" customHeight="1" x14ac:dyDescent="0.2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12.75" customHeight="1" x14ac:dyDescent="0.2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12.75" customHeight="1" x14ac:dyDescent="0.2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12.75" customHeight="1" x14ac:dyDescent="0.2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12.75" customHeight="1" x14ac:dyDescent="0.2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12.75" customHeight="1" x14ac:dyDescent="0.2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12.75" customHeight="1" x14ac:dyDescent="0.2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12.75" customHeight="1" x14ac:dyDescent="0.2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12.75" customHeight="1" x14ac:dyDescent="0.2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12.75" customHeight="1" x14ac:dyDescent="0.2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12.75" customHeight="1" x14ac:dyDescent="0.2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12.75" customHeight="1" x14ac:dyDescent="0.2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12.75" customHeight="1" x14ac:dyDescent="0.2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12.75" customHeight="1" x14ac:dyDescent="0.2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12.75" customHeight="1" x14ac:dyDescent="0.2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12.75" customHeight="1" x14ac:dyDescent="0.2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12.75" customHeight="1" x14ac:dyDescent="0.2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12.75" customHeight="1" x14ac:dyDescent="0.2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12.75" customHeight="1" x14ac:dyDescent="0.2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12.75" customHeight="1" x14ac:dyDescent="0.2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12.75" customHeight="1" x14ac:dyDescent="0.2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12.75" customHeight="1" x14ac:dyDescent="0.2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12.75" customHeight="1" x14ac:dyDescent="0.2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12.75" customHeight="1" x14ac:dyDescent="0.2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12.75" customHeight="1" x14ac:dyDescent="0.2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12.75" customHeight="1" x14ac:dyDescent="0.2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12.75" customHeight="1" x14ac:dyDescent="0.2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12.75" customHeight="1" x14ac:dyDescent="0.2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12.75" customHeight="1" x14ac:dyDescent="0.2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12.75" customHeight="1" x14ac:dyDescent="0.2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12.75" customHeight="1" x14ac:dyDescent="0.2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12.75" customHeight="1" x14ac:dyDescent="0.2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12.75" customHeight="1" x14ac:dyDescent="0.2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12.75" customHeight="1" x14ac:dyDescent="0.2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12.75" customHeight="1" x14ac:dyDescent="0.2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12.75" customHeight="1" x14ac:dyDescent="0.2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12.75" customHeight="1" x14ac:dyDescent="0.2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12.75" customHeight="1" x14ac:dyDescent="0.2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12.75" customHeight="1" x14ac:dyDescent="0.2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12.75" customHeight="1" x14ac:dyDescent="0.2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12.75" customHeight="1" x14ac:dyDescent="0.2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12.75" customHeight="1" x14ac:dyDescent="0.2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12.75" customHeight="1" x14ac:dyDescent="0.2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12.75" customHeight="1" x14ac:dyDescent="0.2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12.75" customHeight="1" x14ac:dyDescent="0.2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12.75" customHeight="1" x14ac:dyDescent="0.2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12.75" customHeight="1" x14ac:dyDescent="0.2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12.75" customHeight="1" x14ac:dyDescent="0.2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12.75" customHeight="1" x14ac:dyDescent="0.2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12.75" customHeight="1" x14ac:dyDescent="0.2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12.75" customHeight="1" x14ac:dyDescent="0.2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12.75" customHeight="1" x14ac:dyDescent="0.2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12.75" customHeight="1" x14ac:dyDescent="0.2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12.75" customHeight="1" x14ac:dyDescent="0.2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12.75" customHeight="1" x14ac:dyDescent="0.2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12.75" customHeight="1" x14ac:dyDescent="0.2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12.75" customHeight="1" x14ac:dyDescent="0.2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12.75" customHeight="1" x14ac:dyDescent="0.2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12.75" customHeight="1" x14ac:dyDescent="0.2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12.75" customHeight="1" x14ac:dyDescent="0.2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12.75" customHeight="1" x14ac:dyDescent="0.2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12.75" customHeight="1" x14ac:dyDescent="0.2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12.75" customHeight="1" x14ac:dyDescent="0.2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12.75" customHeight="1" x14ac:dyDescent="0.2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12.75" customHeight="1" x14ac:dyDescent="0.2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12.75" customHeight="1" x14ac:dyDescent="0.2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12.75" customHeight="1" x14ac:dyDescent="0.2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12.75" customHeight="1" x14ac:dyDescent="0.2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12.75" customHeight="1" x14ac:dyDescent="0.2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12.75" customHeight="1" x14ac:dyDescent="0.2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12.75" customHeight="1" x14ac:dyDescent="0.2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12.75" customHeight="1" x14ac:dyDescent="0.2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12.75" customHeight="1" x14ac:dyDescent="0.2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12.75" customHeight="1" x14ac:dyDescent="0.2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12.75" customHeight="1" x14ac:dyDescent="0.2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12.75" customHeight="1" x14ac:dyDescent="0.2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12.75" customHeight="1" x14ac:dyDescent="0.2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12.75" customHeight="1" x14ac:dyDescent="0.2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12.75" customHeight="1" x14ac:dyDescent="0.2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12.75" customHeight="1" x14ac:dyDescent="0.2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12.75" customHeight="1" x14ac:dyDescent="0.2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12.75" customHeight="1" x14ac:dyDescent="0.2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12.75" customHeight="1" x14ac:dyDescent="0.2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12.75" customHeight="1" x14ac:dyDescent="0.2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12.75" customHeight="1" x14ac:dyDescent="0.2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12.75" customHeight="1" x14ac:dyDescent="0.2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12.75" customHeight="1" x14ac:dyDescent="0.2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12.75" customHeight="1" x14ac:dyDescent="0.2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12.75" customHeight="1" x14ac:dyDescent="0.2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12.75" customHeight="1" x14ac:dyDescent="0.2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12.75" customHeight="1" x14ac:dyDescent="0.2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12.75" customHeight="1" x14ac:dyDescent="0.2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12.75" customHeight="1" x14ac:dyDescent="0.2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12.75" customHeight="1" x14ac:dyDescent="0.2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12.75" customHeight="1" x14ac:dyDescent="0.2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12.75" customHeight="1" x14ac:dyDescent="0.2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12.75" customHeight="1" x14ac:dyDescent="0.2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12.75" customHeight="1" x14ac:dyDescent="0.2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12.75" customHeight="1" x14ac:dyDescent="0.2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12.75" customHeight="1" x14ac:dyDescent="0.2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12.75" customHeight="1" x14ac:dyDescent="0.2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12.75" customHeight="1" x14ac:dyDescent="0.2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12.75" customHeight="1" x14ac:dyDescent="0.2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12.75" customHeight="1" x14ac:dyDescent="0.2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12.75" customHeight="1" x14ac:dyDescent="0.2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12.75" customHeight="1" x14ac:dyDescent="0.2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12.75" customHeight="1" x14ac:dyDescent="0.2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12.75" customHeight="1" x14ac:dyDescent="0.2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12.75" customHeight="1" x14ac:dyDescent="0.2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12.75" customHeight="1" x14ac:dyDescent="0.2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12.75" customHeight="1" x14ac:dyDescent="0.2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12.75" customHeight="1" x14ac:dyDescent="0.2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12.75" customHeight="1" x14ac:dyDescent="0.2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12.75" customHeight="1" x14ac:dyDescent="0.2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12.75" customHeight="1" x14ac:dyDescent="0.2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12.75" customHeight="1" x14ac:dyDescent="0.2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12.75" customHeight="1" x14ac:dyDescent="0.2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12.75" customHeight="1" x14ac:dyDescent="0.2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12.75" customHeight="1" x14ac:dyDescent="0.2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12.75" customHeight="1" x14ac:dyDescent="0.2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12.75" customHeight="1" x14ac:dyDescent="0.2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12.75" customHeight="1" x14ac:dyDescent="0.2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12.75" customHeight="1" x14ac:dyDescent="0.2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12.75" customHeight="1" x14ac:dyDescent="0.2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12.75" customHeight="1" x14ac:dyDescent="0.2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12.75" customHeight="1" x14ac:dyDescent="0.2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12.75" customHeight="1" x14ac:dyDescent="0.2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12.75" customHeight="1" x14ac:dyDescent="0.2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12.75" customHeight="1" x14ac:dyDescent="0.2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12.75" customHeight="1" x14ac:dyDescent="0.2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12.75" customHeight="1" x14ac:dyDescent="0.2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12.75" customHeight="1" x14ac:dyDescent="0.2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12.75" customHeight="1" x14ac:dyDescent="0.2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12.75" customHeight="1" x14ac:dyDescent="0.2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12.75" customHeight="1" x14ac:dyDescent="0.2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12.75" customHeight="1" x14ac:dyDescent="0.2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12.75" customHeight="1" x14ac:dyDescent="0.2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12.75" customHeight="1" x14ac:dyDescent="0.2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12.75" customHeight="1" x14ac:dyDescent="0.2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12.75" customHeight="1" x14ac:dyDescent="0.2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12.75" customHeight="1" x14ac:dyDescent="0.2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12.75" customHeight="1" x14ac:dyDescent="0.2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12.75" customHeight="1" x14ac:dyDescent="0.2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12.75" customHeight="1" x14ac:dyDescent="0.2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12.75" customHeight="1" x14ac:dyDescent="0.2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12.75" customHeight="1" x14ac:dyDescent="0.2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12.75" customHeight="1" x14ac:dyDescent="0.2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12.75" customHeight="1" x14ac:dyDescent="0.2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12.75" customHeight="1" x14ac:dyDescent="0.2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12.75" customHeight="1" x14ac:dyDescent="0.2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12.75" customHeight="1" x14ac:dyDescent="0.2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12.75" customHeight="1" x14ac:dyDescent="0.2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12.75" customHeight="1" x14ac:dyDescent="0.2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12.75" customHeight="1" x14ac:dyDescent="0.2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12.75" customHeight="1" x14ac:dyDescent="0.2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12.75" customHeight="1" x14ac:dyDescent="0.2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12.75" customHeight="1" x14ac:dyDescent="0.2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12.75" customHeight="1" x14ac:dyDescent="0.2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12.75" customHeight="1" x14ac:dyDescent="0.2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12.75" customHeight="1" x14ac:dyDescent="0.2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12.75" customHeight="1" x14ac:dyDescent="0.2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12.75" customHeight="1" x14ac:dyDescent="0.2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12.75" customHeight="1" x14ac:dyDescent="0.2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12.75" customHeight="1" x14ac:dyDescent="0.2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12.75" customHeight="1" x14ac:dyDescent="0.2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12.75" customHeight="1" x14ac:dyDescent="0.2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12.75" customHeight="1" x14ac:dyDescent="0.2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12.75" customHeight="1" x14ac:dyDescent="0.2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12.75" customHeight="1" x14ac:dyDescent="0.2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12.75" customHeight="1" x14ac:dyDescent="0.2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12.75" customHeight="1" x14ac:dyDescent="0.2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12.75" customHeight="1" x14ac:dyDescent="0.2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12.75" customHeight="1" x14ac:dyDescent="0.2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12.75" customHeight="1" x14ac:dyDescent="0.2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12.75" customHeight="1" x14ac:dyDescent="0.2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12.75" customHeight="1" x14ac:dyDescent="0.2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12.75" customHeight="1" x14ac:dyDescent="0.2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12.75" customHeight="1" x14ac:dyDescent="0.2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12.75" customHeight="1" x14ac:dyDescent="0.2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12.75" customHeight="1" x14ac:dyDescent="0.2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12.75" customHeight="1" x14ac:dyDescent="0.2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12.75" customHeight="1" x14ac:dyDescent="0.2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12.75" customHeight="1" x14ac:dyDescent="0.2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12.75" customHeight="1" x14ac:dyDescent="0.2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12.75" customHeight="1" x14ac:dyDescent="0.2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12.75" customHeight="1" x14ac:dyDescent="0.2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12.75" customHeight="1" x14ac:dyDescent="0.2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12.75" customHeight="1" x14ac:dyDescent="0.2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12.75" customHeight="1" x14ac:dyDescent="0.2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12.75" customHeight="1" x14ac:dyDescent="0.2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12.75" customHeight="1" x14ac:dyDescent="0.2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12.75" customHeight="1" x14ac:dyDescent="0.2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12.75" customHeight="1" x14ac:dyDescent="0.2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12.75" customHeight="1" x14ac:dyDescent="0.2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12.75" customHeight="1" x14ac:dyDescent="0.2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12.75" customHeight="1" x14ac:dyDescent="0.2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12.75" customHeight="1" x14ac:dyDescent="0.2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12.75" customHeight="1" x14ac:dyDescent="0.2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12.75" customHeight="1" x14ac:dyDescent="0.2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12.75" customHeight="1" x14ac:dyDescent="0.2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12.75" customHeight="1" x14ac:dyDescent="0.2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12.75" customHeight="1" x14ac:dyDescent="0.2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12.75" customHeight="1" x14ac:dyDescent="0.2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12.75" customHeight="1" x14ac:dyDescent="0.2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12.75" customHeight="1" x14ac:dyDescent="0.2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12.75" customHeight="1" x14ac:dyDescent="0.2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12.75" customHeight="1" x14ac:dyDescent="0.2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12.75" customHeight="1" x14ac:dyDescent="0.2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12.75" customHeight="1" x14ac:dyDescent="0.2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12.75" customHeight="1" x14ac:dyDescent="0.2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12.75" customHeight="1" x14ac:dyDescent="0.2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12.75" customHeight="1" x14ac:dyDescent="0.2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12.75" customHeight="1" x14ac:dyDescent="0.2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12.75" customHeight="1" x14ac:dyDescent="0.2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12.75" customHeight="1" x14ac:dyDescent="0.2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12.75" customHeight="1" x14ac:dyDescent="0.2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12.75" customHeight="1" x14ac:dyDescent="0.2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12.75" customHeight="1" x14ac:dyDescent="0.2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12.75" customHeight="1" x14ac:dyDescent="0.2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12.75" customHeight="1" x14ac:dyDescent="0.2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12.75" customHeight="1" x14ac:dyDescent="0.2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12.75" customHeight="1" x14ac:dyDescent="0.2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12.75" customHeight="1" x14ac:dyDescent="0.2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12.75" customHeight="1" x14ac:dyDescent="0.2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12.75" customHeight="1" x14ac:dyDescent="0.2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12.75" customHeight="1" x14ac:dyDescent="0.2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12.75" customHeight="1" x14ac:dyDescent="0.2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12.75" customHeight="1" x14ac:dyDescent="0.2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12.75" customHeight="1" x14ac:dyDescent="0.2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12.75" customHeight="1" x14ac:dyDescent="0.2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12.75" customHeight="1" x14ac:dyDescent="0.2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12.75" customHeight="1" x14ac:dyDescent="0.2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12.75" customHeight="1" x14ac:dyDescent="0.2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3">
    <mergeCell ref="B2:K2"/>
    <mergeCell ref="C4:D4"/>
    <mergeCell ref="C5:D5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Início</vt:lpstr>
      <vt:lpstr>Proposta</vt:lpstr>
      <vt:lpstr>Proposta_Rel</vt:lpstr>
      <vt:lpstr>Amortizações</vt:lpstr>
      <vt:lpstr>Teste-carência</vt:lpstr>
      <vt:lpstr>Cálculo1</vt:lpstr>
      <vt:lpstr>Cálculo1-A</vt:lpstr>
      <vt:lpstr>Cálculo2</vt:lpstr>
      <vt:lpstr>Cálculo2-A</vt:lpstr>
      <vt:lpstr>Cálculo3</vt:lpstr>
      <vt:lpstr>Capacidade_de_Pagamento</vt:lpstr>
      <vt:lpstr>Capacidade_de_Pagamento-Temp</vt:lpstr>
      <vt:lpstr>Capacidade_de_Pagamento-Temp-A</vt:lpstr>
      <vt:lpstr>Tabela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Mateus Eckel</dc:creator>
  <cp:lastModifiedBy>Mateus Eckel</cp:lastModifiedBy>
  <dcterms:created xsi:type="dcterms:W3CDTF">2018-03-22T11:54:25Z</dcterms:created>
  <dcterms:modified xsi:type="dcterms:W3CDTF">2018-03-22T11:54:25Z</dcterms:modified>
</cp:coreProperties>
</file>