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22995" windowHeight="9105"/>
  </bookViews>
  <sheets>
    <sheet name="ORCAMENTO" sheetId="1" r:id="rId1"/>
    <sheet name="MEM_CALCULO" sheetId="8" r:id="rId2"/>
    <sheet name="CRONOGRAMA" sheetId="7" r:id="rId3"/>
    <sheet name="comp_telha_policarb." sheetId="6" r:id="rId4"/>
  </sheets>
  <definedNames>
    <definedName name="_xlnm.Print_Area" localSheetId="3">comp_telha_policarb.!$B$1:$K$33</definedName>
    <definedName name="_xlnm.Print_Area" localSheetId="2">CRONOGRAMA!$B$1:$M$56</definedName>
    <definedName name="_xlnm.Print_Area" localSheetId="1">MEM_CALCULO!$B$1:$F$59</definedName>
    <definedName name="_xlnm.Print_Area" localSheetId="0">ORCAMENTO!$B$1:$G$79</definedName>
    <definedName name="Excel_BuiltIn_Print_Area_1_1" localSheetId="1">(#REF!,#REF!)</definedName>
    <definedName name="Excel_BuiltIn_Print_Area_1_1">(#REF!,#REF!)</definedName>
    <definedName name="Excel_BuiltIn_Print_Area_2_1" localSheetId="1">#REF!</definedName>
    <definedName name="Excel_BuiltIn_Print_Area_2_1">#REF!</definedName>
    <definedName name="Excel_BuiltIn_Print_Area_3_1" localSheetId="2">#REF!</definedName>
    <definedName name="Excel_BuiltIn_Print_Area_3_1" localSheetId="1">#REF!</definedName>
    <definedName name="Excel_BuiltIn_Print_Area_3_1">#REF!</definedName>
    <definedName name="Excel_BuiltIn_Print_Area_3_1_1" localSheetId="2">#REF!</definedName>
    <definedName name="Excel_BuiltIn_Print_Area_3_1_1" localSheetId="1">#REF!</definedName>
    <definedName name="Excel_BuiltIn_Print_Area_3_1_1">#REF!</definedName>
    <definedName name="Excel_BuiltIn_Print_Area_4_1" localSheetId="2">#REF!</definedName>
    <definedName name="Excel_BuiltIn_Print_Area_4_1" localSheetId="1">#REF!</definedName>
    <definedName name="Excel_BuiltIn_Print_Area_4_1">#REF!</definedName>
    <definedName name="Excel_BuiltIn_Print_Area_4_1_1" localSheetId="2">#REF!</definedName>
    <definedName name="Excel_BuiltIn_Print_Area_4_1_1" localSheetId="1">#REF!</definedName>
    <definedName name="Excel_BuiltIn_Print_Area_4_1_1">#REF!</definedName>
    <definedName name="Excel_BuiltIn_Print_Titles_4_1" localSheetId="2">#REF!</definedName>
    <definedName name="Excel_BuiltIn_Print_Titles_4_1" localSheetId="1">#REF!</definedName>
    <definedName name="Excel_BuiltIn_Print_Titles_4_1">#REF!</definedName>
    <definedName name="Excel_BuiltIn_Print_Titles_4_1_1" localSheetId="2">#REF!</definedName>
    <definedName name="Excel_BuiltIn_Print_Titles_4_1_1" localSheetId="1">#REF!</definedName>
    <definedName name="Excel_BuiltIn_Print_Titles_4_1_1">#REF!</definedName>
    <definedName name="_xlnm.Print_Titles" localSheetId="2">CRONOGRAMA!$1:$14</definedName>
    <definedName name="_xlnm.Print_Titles" localSheetId="1">MEM_CALCULO!$1:$11</definedName>
    <definedName name="_xlnm.Print_Titles" localSheetId="0">ORCAMENTO!$1:$13</definedName>
  </definedNames>
  <calcPr calcId="145621"/>
</workbook>
</file>

<file path=xl/calcChain.xml><?xml version="1.0" encoding="utf-8"?>
<calcChain xmlns="http://schemas.openxmlformats.org/spreadsheetml/2006/main">
  <c r="K31" i="7" l="1"/>
  <c r="K21" i="7"/>
  <c r="F58" i="1"/>
  <c r="M58" i="1"/>
  <c r="O58" i="1" s="1"/>
  <c r="E23" i="8" l="1"/>
  <c r="E22" i="8"/>
  <c r="E18" i="8"/>
  <c r="E17" i="8"/>
  <c r="E15" i="8"/>
  <c r="E16" i="8" s="1"/>
  <c r="B8" i="8"/>
  <c r="E59" i="8"/>
  <c r="E58" i="8"/>
  <c r="E27" i="8"/>
  <c r="E21" i="8"/>
  <c r="E50" i="8" s="1"/>
  <c r="E41" i="8"/>
  <c r="E40" i="8"/>
  <c r="E14" i="8"/>
  <c r="E42" i="8" l="1"/>
  <c r="E46" i="8"/>
  <c r="E55" i="8"/>
  <c r="E31" i="8"/>
  <c r="E54" i="8"/>
  <c r="V55" i="7" l="1"/>
  <c r="V54" i="7"/>
  <c r="J25" i="7" l="1"/>
  <c r="J24" i="7"/>
  <c r="J40" i="7" s="1"/>
  <c r="L28" i="7"/>
  <c r="J28" i="7"/>
  <c r="H28" i="7"/>
  <c r="H25" i="7"/>
  <c r="H43" i="7" s="1"/>
  <c r="H24" i="7"/>
  <c r="H40" i="7" s="1"/>
  <c r="H21" i="7"/>
  <c r="Q52" i="7"/>
  <c r="Q53" i="7" s="1"/>
  <c r="Q28" i="7"/>
  <c r="Q25" i="7"/>
  <c r="Q43" i="7" s="1"/>
  <c r="Q24" i="7"/>
  <c r="Q40" i="7" s="1"/>
  <c r="Q23" i="7"/>
  <c r="Q46" i="7" s="1"/>
  <c r="Q21" i="7"/>
  <c r="Q39" i="7" s="1"/>
  <c r="Q20" i="7"/>
  <c r="Q38" i="7" s="1"/>
  <c r="Q18" i="7"/>
  <c r="Q19" i="7" s="1"/>
  <c r="Q17" i="7"/>
  <c r="L52" i="7"/>
  <c r="L53" i="7" s="1"/>
  <c r="L43" i="7"/>
  <c r="L40" i="7"/>
  <c r="L23" i="7"/>
  <c r="L46" i="7" s="1"/>
  <c r="L39" i="7"/>
  <c r="L38" i="7"/>
  <c r="L18" i="7"/>
  <c r="L19" i="7" s="1"/>
  <c r="L17" i="7"/>
  <c r="J52" i="7"/>
  <c r="J53" i="7" s="1"/>
  <c r="J43" i="7"/>
  <c r="J46" i="7"/>
  <c r="J38" i="7"/>
  <c r="E17" i="7"/>
  <c r="E18" i="7"/>
  <c r="E19" i="7"/>
  <c r="E16" i="1"/>
  <c r="H52" i="7"/>
  <c r="H53" i="7" s="1"/>
  <c r="H50" i="7"/>
  <c r="H49" i="7"/>
  <c r="H46" i="7"/>
  <c r="H39" i="7" l="1"/>
  <c r="Q49" i="7"/>
  <c r="Q50" i="7"/>
  <c r="Q31" i="7"/>
  <c r="L49" i="7"/>
  <c r="L50" i="7"/>
  <c r="J49" i="7"/>
  <c r="J50" i="7"/>
  <c r="H20" i="7"/>
  <c r="H19" i="7"/>
  <c r="E53" i="7"/>
  <c r="E52" i="7"/>
  <c r="E50" i="7"/>
  <c r="E49" i="7"/>
  <c r="E46" i="7"/>
  <c r="E43" i="7"/>
  <c r="E39" i="7"/>
  <c r="E40" i="7"/>
  <c r="E38" i="7"/>
  <c r="E35" i="7"/>
  <c r="E34" i="7"/>
  <c r="E31" i="7"/>
  <c r="E28" i="7"/>
  <c r="E24" i="7"/>
  <c r="E25" i="7"/>
  <c r="E23" i="7"/>
  <c r="E20" i="7"/>
  <c r="E21" i="7"/>
  <c r="J21" i="7" s="1"/>
  <c r="F53" i="7"/>
  <c r="K53" i="7" s="1"/>
  <c r="F52" i="7"/>
  <c r="K52" i="7" s="1"/>
  <c r="F50" i="7"/>
  <c r="F49" i="7"/>
  <c r="F46" i="7"/>
  <c r="M46" i="7" s="1"/>
  <c r="F43" i="7"/>
  <c r="M43" i="7" s="1"/>
  <c r="F38" i="7"/>
  <c r="M38" i="7" s="1"/>
  <c r="F35" i="7"/>
  <c r="M35" i="7" s="1"/>
  <c r="F34" i="7"/>
  <c r="M34" i="7" s="1"/>
  <c r="F31" i="7"/>
  <c r="F28" i="7"/>
  <c r="M28" i="7" s="1"/>
  <c r="F24" i="7"/>
  <c r="I24" i="7" s="1"/>
  <c r="F25" i="7"/>
  <c r="M25" i="7" s="1"/>
  <c r="F23" i="7"/>
  <c r="I23" i="7" s="1"/>
  <c r="F18" i="7"/>
  <c r="I18" i="7" s="1"/>
  <c r="F19" i="7"/>
  <c r="M19" i="7" s="1"/>
  <c r="F20" i="7"/>
  <c r="M20" i="7" s="1"/>
  <c r="F21" i="7"/>
  <c r="I21" i="7" s="1"/>
  <c r="F17" i="7"/>
  <c r="I17" i="7" s="1"/>
  <c r="D53" i="7"/>
  <c r="D52" i="7"/>
  <c r="D50" i="7"/>
  <c r="D49" i="7"/>
  <c r="D46" i="7"/>
  <c r="D43" i="7"/>
  <c r="D39" i="7"/>
  <c r="D40" i="7"/>
  <c r="D38" i="7"/>
  <c r="D35" i="7"/>
  <c r="D34" i="7"/>
  <c r="D31" i="7"/>
  <c r="D28" i="7"/>
  <c r="D24" i="7"/>
  <c r="D25" i="7"/>
  <c r="D23" i="7"/>
  <c r="D18" i="7"/>
  <c r="D19" i="7"/>
  <c r="D20" i="7"/>
  <c r="D21" i="7"/>
  <c r="D17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E31" i="1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B52" i="7"/>
  <c r="B53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K50" i="7" l="1"/>
  <c r="K49" i="7"/>
  <c r="J39" i="7"/>
  <c r="J31" i="7"/>
  <c r="H38" i="7"/>
  <c r="H31" i="7"/>
  <c r="I31" i="7" s="1"/>
  <c r="I28" i="7"/>
  <c r="I49" i="7"/>
  <c r="K17" i="7"/>
  <c r="K28" i="7"/>
  <c r="M17" i="7"/>
  <c r="M21" i="7"/>
  <c r="M50" i="7"/>
  <c r="I19" i="7"/>
  <c r="I25" i="7"/>
  <c r="I34" i="7"/>
  <c r="I50" i="7"/>
  <c r="K18" i="7"/>
  <c r="K23" i="7"/>
  <c r="K34" i="7"/>
  <c r="M18" i="7"/>
  <c r="M23" i="7"/>
  <c r="M52" i="7"/>
  <c r="I20" i="7"/>
  <c r="I35" i="7"/>
  <c r="I43" i="7"/>
  <c r="I52" i="7"/>
  <c r="N52" i="7" s="1"/>
  <c r="K19" i="7"/>
  <c r="K24" i="7"/>
  <c r="K35" i="7"/>
  <c r="K43" i="7"/>
  <c r="M24" i="7"/>
  <c r="M53" i="7"/>
  <c r="M49" i="7"/>
  <c r="I38" i="7"/>
  <c r="I46" i="7"/>
  <c r="I53" i="7"/>
  <c r="K20" i="7"/>
  <c r="K25" i="7"/>
  <c r="K38" i="7"/>
  <c r="K46" i="7"/>
  <c r="N53" i="7" l="1"/>
  <c r="N50" i="7"/>
  <c r="N46" i="7"/>
  <c r="N24" i="7"/>
  <c r="N20" i="7"/>
  <c r="L31" i="7"/>
  <c r="M31" i="7" s="1"/>
  <c r="N31" i="7" s="1"/>
  <c r="N21" i="7"/>
  <c r="N28" i="7"/>
  <c r="N17" i="7"/>
  <c r="N23" i="7"/>
  <c r="N38" i="7"/>
  <c r="N25" i="7"/>
  <c r="N43" i="7"/>
  <c r="N49" i="7"/>
  <c r="N35" i="7"/>
  <c r="N34" i="7"/>
  <c r="N18" i="7"/>
  <c r="N19" i="7"/>
  <c r="T22" i="7" l="1"/>
  <c r="T26" i="7"/>
  <c r="T27" i="7"/>
  <c r="T29" i="7"/>
  <c r="T30" i="7"/>
  <c r="T32" i="7"/>
  <c r="T33" i="7"/>
  <c r="T36" i="7"/>
  <c r="T37" i="7"/>
  <c r="T41" i="7"/>
  <c r="T42" i="7"/>
  <c r="T44" i="7"/>
  <c r="T45" i="7"/>
  <c r="T47" i="7"/>
  <c r="T48" i="7"/>
  <c r="T51" i="7"/>
  <c r="B9" i="7"/>
  <c r="B10" i="7"/>
  <c r="B11" i="7"/>
  <c r="B8" i="7"/>
  <c r="T53" i="7"/>
  <c r="G52" i="7"/>
  <c r="O52" i="7" s="1"/>
  <c r="T35" i="7"/>
  <c r="G35" i="7"/>
  <c r="O35" i="7" s="1"/>
  <c r="T34" i="7"/>
  <c r="G34" i="7"/>
  <c r="O34" i="7" s="1"/>
  <c r="T28" i="7"/>
  <c r="T17" i="7"/>
  <c r="G17" i="7"/>
  <c r="I20" i="6"/>
  <c r="K20" i="6" s="1"/>
  <c r="O17" i="7" l="1"/>
  <c r="T18" i="7"/>
  <c r="G25" i="7"/>
  <c r="O25" i="7" s="1"/>
  <c r="T25" i="7"/>
  <c r="G18" i="7"/>
  <c r="O18" i="7" s="1"/>
  <c r="T52" i="7"/>
  <c r="G43" i="7"/>
  <c r="T43" i="7"/>
  <c r="G38" i="7"/>
  <c r="O38" i="7" s="1"/>
  <c r="T38" i="7"/>
  <c r="T46" i="7"/>
  <c r="G46" i="7"/>
  <c r="T50" i="7"/>
  <c r="G50" i="7"/>
  <c r="O50" i="7" s="1"/>
  <c r="T39" i="7"/>
  <c r="T40" i="7"/>
  <c r="G24" i="7"/>
  <c r="O24" i="7" s="1"/>
  <c r="G28" i="7"/>
  <c r="G20" i="7"/>
  <c r="O20" i="7" s="1"/>
  <c r="T21" i="7"/>
  <c r="G23" i="7"/>
  <c r="O23" i="7" s="1"/>
  <c r="T24" i="7"/>
  <c r="G53" i="7"/>
  <c r="O53" i="7" s="1"/>
  <c r="G21" i="7"/>
  <c r="O21" i="7" s="1"/>
  <c r="T20" i="7"/>
  <c r="T23" i="7"/>
  <c r="O28" i="7" l="1"/>
  <c r="O46" i="7"/>
  <c r="O43" i="7"/>
  <c r="T49" i="7"/>
  <c r="G49" i="7"/>
  <c r="T31" i="7"/>
  <c r="G31" i="7"/>
  <c r="T19" i="7"/>
  <c r="T54" i="7" s="1"/>
  <c r="T55" i="7" s="1"/>
  <c r="G19" i="7"/>
  <c r="O19" i="7" s="1"/>
  <c r="O31" i="7" l="1"/>
  <c r="O49" i="7"/>
  <c r="F28" i="6" l="1"/>
  <c r="I19" i="6"/>
  <c r="K19" i="6" s="1"/>
  <c r="I15" i="6"/>
  <c r="K15" i="6" s="1"/>
  <c r="I14" i="6"/>
  <c r="K14" i="6" s="1"/>
  <c r="K21" i="6" l="1"/>
  <c r="F26" i="6" s="1"/>
  <c r="K16" i="6"/>
  <c r="F25" i="6" s="1"/>
  <c r="F30" i="6" l="1"/>
  <c r="F31" i="6" s="1"/>
  <c r="F29" i="6"/>
  <c r="E75" i="1"/>
  <c r="G75" i="1" s="1"/>
  <c r="E74" i="1"/>
  <c r="G74" i="1" s="1"/>
  <c r="M52" i="1"/>
  <c r="O52" i="1" s="1"/>
  <c r="F52" i="1" s="1"/>
  <c r="F40" i="7" s="1"/>
  <c r="E25" i="1"/>
  <c r="E19" i="1"/>
  <c r="E24" i="1"/>
  <c r="M40" i="7" l="1"/>
  <c r="I40" i="7"/>
  <c r="K40" i="7"/>
  <c r="G40" i="7"/>
  <c r="F32" i="6"/>
  <c r="F33" i="6" s="1"/>
  <c r="F51" i="1" s="1"/>
  <c r="F39" i="7" s="1"/>
  <c r="E20" i="1"/>
  <c r="N40" i="7" l="1"/>
  <c r="O40" i="7" s="1"/>
  <c r="M39" i="7"/>
  <c r="M55" i="7" s="1"/>
  <c r="I39" i="7"/>
  <c r="K39" i="7"/>
  <c r="K55" i="7" s="1"/>
  <c r="G39" i="7"/>
  <c r="E51" i="1"/>
  <c r="G51" i="1" s="1"/>
  <c r="E50" i="1"/>
  <c r="E17" i="1"/>
  <c r="G54" i="7" l="1"/>
  <c r="L55" i="7" s="1"/>
  <c r="I55" i="7"/>
  <c r="N39" i="7"/>
  <c r="O39" i="7" s="1"/>
  <c r="G19" i="1"/>
  <c r="E52" i="1"/>
  <c r="G52" i="1" s="1"/>
  <c r="E71" i="1"/>
  <c r="E70" i="1"/>
  <c r="E23" i="1"/>
  <c r="E37" i="1" s="1"/>
  <c r="E18" i="1"/>
  <c r="J55" i="7" l="1"/>
  <c r="I56" i="7"/>
  <c r="H55" i="7"/>
  <c r="E64" i="1"/>
  <c r="E58" i="1"/>
  <c r="H56" i="7" l="1"/>
  <c r="K56" i="7"/>
  <c r="G43" i="1"/>
  <c r="J56" i="7" l="1"/>
  <c r="M56" i="7"/>
  <c r="L56" i="7" s="1"/>
  <c r="G23" i="1"/>
  <c r="G24" i="1"/>
  <c r="G50" i="1" l="1"/>
  <c r="G54" i="1" s="1"/>
  <c r="G17" i="1" l="1"/>
  <c r="G18" i="1" l="1"/>
  <c r="G20" i="1" l="1"/>
  <c r="G16" i="1" l="1"/>
  <c r="G44" i="1"/>
  <c r="G46" i="1" s="1"/>
  <c r="G64" i="1"/>
  <c r="G66" i="1" s="1"/>
  <c r="G37" i="1"/>
  <c r="G39" i="1" s="1"/>
  <c r="G70" i="1"/>
  <c r="G25" i="1"/>
  <c r="G58" i="1"/>
  <c r="G60" i="1" s="1"/>
  <c r="G71" i="1"/>
  <c r="G31" i="1"/>
  <c r="G33" i="1" s="1"/>
  <c r="G77" i="1" l="1"/>
  <c r="G27" i="1"/>
  <c r="G79" i="1" s="1"/>
  <c r="I75" i="1" l="1"/>
  <c r="I71" i="1"/>
  <c r="I52" i="1"/>
  <c r="I43" i="1"/>
  <c r="I24" i="1"/>
  <c r="I18" i="1"/>
  <c r="I50" i="1"/>
  <c r="I31" i="1"/>
  <c r="I16" i="1"/>
  <c r="I74" i="1"/>
  <c r="I70" i="1"/>
  <c r="I37" i="1"/>
  <c r="I23" i="1"/>
  <c r="I17" i="1"/>
  <c r="I64" i="1"/>
  <c r="I20" i="1"/>
  <c r="I58" i="1"/>
  <c r="I44" i="1"/>
  <c r="I25" i="1"/>
  <c r="I19" i="1"/>
  <c r="I51" i="1"/>
</calcChain>
</file>

<file path=xl/comments1.xml><?xml version="1.0" encoding="utf-8"?>
<comments xmlns="http://schemas.openxmlformats.org/spreadsheetml/2006/main">
  <authors>
    <author>Josiana Maria Cerutti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Real Toldos;
Toldos D'el Rey;</t>
        </r>
      </text>
    </comment>
  </commentList>
</comments>
</file>

<file path=xl/sharedStrings.xml><?xml version="1.0" encoding="utf-8"?>
<sst xmlns="http://schemas.openxmlformats.org/spreadsheetml/2006/main" count="334" uniqueCount="186">
  <si>
    <t>Item</t>
  </si>
  <si>
    <t>Especificação do Serviço</t>
  </si>
  <si>
    <t>Und.</t>
  </si>
  <si>
    <t>Preço Unitário</t>
  </si>
  <si>
    <t>SERVIÇOS PRELIMINARES</t>
  </si>
  <si>
    <t>DEMOLIÇÕES E RETIRADAS</t>
  </si>
  <si>
    <t>m2</t>
  </si>
  <si>
    <t>m3</t>
  </si>
  <si>
    <t>m</t>
  </si>
  <si>
    <t>und</t>
  </si>
  <si>
    <t>Retirada de pintura antiga a base de PVA</t>
  </si>
  <si>
    <t>Lixamento de parede com pintura antiga PVA para recebimento de nova camada de tinta</t>
  </si>
  <si>
    <t>MOVIMENTO DE TERRA</t>
  </si>
  <si>
    <t>TRANSPORTES</t>
  </si>
  <si>
    <t>Índice de preço para remoção de entulho decorrente da execução de obras (Classe A CONAMA - NBR 10.004 - Classe II-B), incluindo aluguel da caçamba, carga, transporte e descarga em área licenciada</t>
  </si>
  <si>
    <t>ESQUADRIAS DE MADEIRA</t>
  </si>
  <si>
    <t>PINTURA</t>
  </si>
  <si>
    <t>SOBRE PAREDES E FORROS</t>
  </si>
  <si>
    <t>Emassamento de paredes e forros, com duas demãos de massa à base de PVA, marcas de referência Suvinil, Coral ou Metalatex</t>
  </si>
  <si>
    <t>Quantidade</t>
  </si>
  <si>
    <t>Preço Total</t>
  </si>
  <si>
    <t>Remoção de telha ondulada de fibrocimento, inclusive cumeeira</t>
  </si>
  <si>
    <t>INSTALAÇÃO DO CANTEIRO DE OBRAS</t>
  </si>
  <si>
    <t>TAPUMES, BARRACÕES E COBERTURAS</t>
  </si>
  <si>
    <t>Locação de andaime metálico para fachada - tipo torre (aluguel mensal)</t>
  </si>
  <si>
    <t>COBERTURA</t>
  </si>
  <si>
    <t>IMPERMEABILIZAÇÃO</t>
  </si>
  <si>
    <t>IMPERMEABILIZAÇÃO CALHAS, LAJES DESCOBERTAS, BALDRAMES, PAREDES E JARDINEIRAS</t>
  </si>
  <si>
    <t>01</t>
  </si>
  <si>
    <t>0102</t>
  </si>
  <si>
    <t>010230</t>
  </si>
  <si>
    <t>010246</t>
  </si>
  <si>
    <t>0103</t>
  </si>
  <si>
    <t>03</t>
  </si>
  <si>
    <t>0303</t>
  </si>
  <si>
    <t>030304</t>
  </si>
  <si>
    <t>06</t>
  </si>
  <si>
    <t>19</t>
  </si>
  <si>
    <t>1901</t>
  </si>
  <si>
    <t>190101</t>
  </si>
  <si>
    <t>02</t>
  </si>
  <si>
    <t>0203</t>
  </si>
  <si>
    <t>020346</t>
  </si>
  <si>
    <r>
      <t>Leis Sociais:</t>
    </r>
    <r>
      <rPr>
        <sz val="11"/>
        <color theme="1"/>
        <rFont val="Calibri"/>
        <family val="2"/>
        <scheme val="minor"/>
      </rPr>
      <t> 128,33%</t>
    </r>
  </si>
  <si>
    <r>
      <t>BDI:</t>
    </r>
    <r>
      <rPr>
        <sz val="11"/>
        <color theme="1"/>
        <rFont val="Calibri"/>
        <family val="2"/>
        <scheme val="minor"/>
      </rPr>
      <t> 30,9%</t>
    </r>
  </si>
  <si>
    <t>010256</t>
  </si>
  <si>
    <t>Retirada de manta asfáltica de impermeabilização</t>
  </si>
  <si>
    <t>10</t>
  </si>
  <si>
    <t>1002</t>
  </si>
  <si>
    <t>IMPERMEABILIZACAO DE SUPERFICIE COM MANTA ASFALTICA PROTEGIDA COM FILME DE ALUMINIO GOFRADO (DE ESPESSURA 0,8MM), INCLUSA APLICACAO DE EMULSAO ASFALTICA, E=3MM.</t>
  </si>
  <si>
    <t>09</t>
  </si>
  <si>
    <t>PLANILHA ORÇAMENTÁRIA</t>
  </si>
  <si>
    <t>Total do Item 01:</t>
  </si>
  <si>
    <t>Total do Item 02:</t>
  </si>
  <si>
    <t>Total do Item 03:</t>
  </si>
  <si>
    <t>Total do Item 06:</t>
  </si>
  <si>
    <t>Total do Item 09:</t>
  </si>
  <si>
    <t>Total do Item 10:</t>
  </si>
  <si>
    <t>Total do Item 19:</t>
  </si>
  <si>
    <t>CRONOGRAMA FÍSICO-FINANCEIRO</t>
  </si>
  <si>
    <t>DISCRIMINAÇÃO</t>
  </si>
  <si>
    <t>1º MÊS</t>
  </si>
  <si>
    <t>2º MÊS</t>
  </si>
  <si>
    <t>3º MÊS</t>
  </si>
  <si>
    <t>TOTAL MENSAL</t>
  </si>
  <si>
    <t>TOTAL ACUMULADO</t>
  </si>
  <si>
    <t>ANEXO I-D</t>
  </si>
  <si>
    <t>ANEXO I-E</t>
  </si>
  <si>
    <r>
      <t>Unidade:</t>
    </r>
    <r>
      <rPr>
        <sz val="11"/>
        <color theme="1"/>
        <rFont val="Calibri"/>
        <family val="2"/>
        <scheme val="minor"/>
      </rPr>
      <t> m2</t>
    </r>
  </si>
  <si>
    <t>MÃO DE OBRA</t>
  </si>
  <si>
    <t>Unid</t>
  </si>
  <si>
    <t>Código</t>
  </si>
  <si>
    <t>Coefic.</t>
  </si>
  <si>
    <t>C. Prod.</t>
  </si>
  <si>
    <t>Pr. Prod.</t>
  </si>
  <si>
    <t>Pr. Improd.</t>
  </si>
  <si>
    <t>Pr. Unit.</t>
  </si>
  <si>
    <t>Subtotal</t>
  </si>
  <si>
    <t>H</t>
  </si>
  <si>
    <t>SubTotal:</t>
  </si>
  <si>
    <t>RESUMO</t>
  </si>
  <si>
    <t>TAXA(%)</t>
  </si>
  <si>
    <t>VALORES</t>
  </si>
  <si>
    <t>Mão-de-Obra(A)</t>
  </si>
  <si>
    <t>Materiais(B)</t>
  </si>
  <si>
    <t>Equipamentos(C)</t>
  </si>
  <si>
    <t>Produção da Equipe(D)</t>
  </si>
  <si>
    <t>Custo Horário Total(A+C)</t>
  </si>
  <si>
    <t>Custo Unitário da Execução[(A/D)+(C/D)] = E</t>
  </si>
  <si>
    <t>Custo Direto Total(B+E)</t>
  </si>
  <si>
    <t>Bonificações e Despesas Indiretas - BDI</t>
  </si>
  <si>
    <t>CUSTO UNITÁRIO (Adotado)</t>
  </si>
  <si>
    <r>
      <t>Objeto:</t>
    </r>
    <r>
      <rPr>
        <sz val="11"/>
        <color theme="1"/>
        <rFont val="Calibri"/>
        <family val="2"/>
        <scheme val="minor"/>
      </rPr>
      <t xml:space="preserve"> OBRA DE RECUPERAÇÃO DE PARTES DA EDIFICAÇÃO DO ESCRITÓRIO CENTRAL DO IDAF</t>
    </r>
  </si>
  <si>
    <t>010324</t>
  </si>
  <si>
    <t>Retirada de cobertura em telha canalete 90</t>
  </si>
  <si>
    <t>090207</t>
  </si>
  <si>
    <t>Cobertura nova de telhas de fibrocimento tipo canalete 90, inclusive cumeeira e acessórios de fixação</t>
  </si>
  <si>
    <t>TETOS E FORROS</t>
  </si>
  <si>
    <t>REBAIXAMENTOS</t>
  </si>
  <si>
    <t>110201</t>
  </si>
  <si>
    <t>Forro de gesso acabamento tipo liso</t>
  </si>
  <si>
    <t>Total do Item 11:</t>
  </si>
  <si>
    <t>190115</t>
  </si>
  <si>
    <t>Pintura com tinta látex PVA, marcas de referência Suvinil, Coral ou Metalatex, inclusive selador, em paredes
e forros, a duas demãos</t>
  </si>
  <si>
    <t>010221</t>
  </si>
  <si>
    <t>Retirada de bandeira de porta</t>
  </si>
  <si>
    <t>010318-1</t>
  </si>
  <si>
    <t>Cobertura nova de telhas onduladas de fibrocimento 6.0mm, inclusive cumeeiras e acessórios de fixação</t>
  </si>
  <si>
    <t>010280-1</t>
  </si>
  <si>
    <t>~40und de 6m de comprimento</t>
  </si>
  <si>
    <t>Remoção de forro em gesso, sem aproveitamento do material</t>
  </si>
  <si>
    <t>010333-1</t>
  </si>
  <si>
    <t>PORTA EM MADEIRA DE LEI TIPO ANGELIM PEDRA OU EQUIV. C/ ENCHIMENTO EM MADEIRA DE 1ª QUALIDADE ESP 30MM, INCL. ALIZARES, DOBRADIÇAS E FECHADURAS EXT EM LATÃO CROMADO LAFONTE/EQUIV , EXCL. MARCO, NAS DIMENSÕES:</t>
  </si>
  <si>
    <t>0619-1</t>
  </si>
  <si>
    <t>Porta em madeira de Lei tipo Angelim Pedra ou equiv. c/ enchimento em madeira de 1ª qualidade esp. 30mm, inclusive alizares, dobradiças e fechaduras externas em latão cromado La Fonte/equiv. exclusive marco, nas dimensões: 0.80 x 2.10 m</t>
  </si>
  <si>
    <t>061902-1</t>
  </si>
  <si>
    <t>Porta em madeira de Lei tipo Angelim Pedra ou equiv. c/ enchimento em madeira de 1ª qualidade esp. 30mm, inclusive alizares, dobradiças e fechaduras externas em latão cromado La Fonte/equiv. exclusive marco, nas dimensões: 0.90 x 2.10 m - padrão IDAF</t>
  </si>
  <si>
    <t>061903-1</t>
  </si>
  <si>
    <t>090202</t>
  </si>
  <si>
    <t>090207-1</t>
  </si>
  <si>
    <r>
      <t xml:space="preserve">SINAPI/ES 73753/001
</t>
    </r>
    <r>
      <rPr>
        <sz val="10"/>
        <color theme="1"/>
        <rFont val="Calibri"/>
        <family val="2"/>
        <scheme val="minor"/>
      </rPr>
      <t>(02/2018)</t>
    </r>
  </si>
  <si>
    <t>1903</t>
  </si>
  <si>
    <t>SOBRE MADEIRA</t>
  </si>
  <si>
    <t>190301</t>
  </si>
  <si>
    <t>190302</t>
  </si>
  <si>
    <t>Emassamento de esquadrias de madeira, com duas demãos de massa à base de óleo, marcas de referência Suvinil, Coral ou Metalatex</t>
  </si>
  <si>
    <t>Pintura com tinta esmalte sintético, marcas de referência Suvinil, Coral ou Metalatex, inclusive fundo branco nivelador, em madeira, a duas demãos</t>
  </si>
  <si>
    <t>0902</t>
  </si>
  <si>
    <t>TELHADO</t>
  </si>
  <si>
    <t>Fator Ac.</t>
  </si>
  <si>
    <t>AJUDANTE (LABOR)</t>
  </si>
  <si>
    <t>TELHADISTA (LABOR)</t>
  </si>
  <si>
    <t>MATERIAL</t>
  </si>
  <si>
    <t>M2</t>
  </si>
  <si>
    <t>010101</t>
  </si>
  <si>
    <t>010150</t>
  </si>
  <si>
    <r>
      <t>Código Base:</t>
    </r>
    <r>
      <rPr>
        <sz val="11"/>
        <color theme="1"/>
        <rFont val="Calibri"/>
        <family val="2"/>
        <scheme val="minor"/>
      </rPr>
      <t> 090206</t>
    </r>
  </si>
  <si>
    <t>COMPOSIÇÃO DE CUSTO</t>
  </si>
  <si>
    <t>CHAPA DE POLICARBONATO ALVEOLAR, ESPESSURA DE 10MM</t>
  </si>
  <si>
    <t>025532-1</t>
  </si>
  <si>
    <r>
      <t>Item:</t>
    </r>
    <r>
      <rPr>
        <sz val="11"/>
        <rFont val="Calibri"/>
        <family val="2"/>
        <scheme val="minor"/>
      </rPr>
      <t> 090206-1 - Cobertura nova com chapa de policarbonato alveolar, esp. 10mm</t>
    </r>
  </si>
  <si>
    <t>090206-1</t>
  </si>
  <si>
    <t>Cobertura nova com chapa de policarbonato alveolar, esp. 10mm</t>
  </si>
  <si>
    <t>Remoção de cobertura em chapa de policarbonato, exclusive estrutura</t>
  </si>
  <si>
    <t>025532-2</t>
  </si>
  <si>
    <t>ELEMENTOS DE FIXAÇÃO E DE VEDAÇÃO</t>
  </si>
  <si>
    <t>HH/und</t>
  </si>
  <si>
    <t>HH Total</t>
  </si>
  <si>
    <t>semanas/ano</t>
  </si>
  <si>
    <t>semanas/mês</t>
  </si>
  <si>
    <t>MESES</t>
  </si>
  <si>
    <t>Serviço</t>
  </si>
  <si>
    <t>4 torres de 9 metros cada, por 3 meses</t>
  </si>
  <si>
    <t>Quant. Geral</t>
  </si>
  <si>
    <t>Quant.</t>
  </si>
  <si>
    <t>conferência</t>
  </si>
  <si>
    <t>2 equipes</t>
  </si>
  <si>
    <t>PREÇO GLOBAL</t>
  </si>
  <si>
    <t>MEMÓRIA DE CÁLCULO</t>
  </si>
  <si>
    <t>REFERENCIAL LABOR/CT - UFES PADRÃO IOPES</t>
  </si>
  <si>
    <t>Dimensionamento</t>
  </si>
  <si>
    <t>1º pav - nível 1: 1x1,2mx1,2m
1º pav - nível 2: (2x1,2mx1,2m) + (1x3mx4,8m)
2º pav: (1x1,2mx1,2m) + (1x1,8mx3m) + (1x1,2mx1,8m) + (1x3mx4,6m)
4º pav: (3x1,2mx1,2m) + (1x2,7mx4,8m) + (1x1,5mx2,3m)</t>
  </si>
  <si>
    <t>mesma área do item anterior</t>
  </si>
  <si>
    <t>20,9m x 10,43m</t>
  </si>
  <si>
    <t>(6,65m x 23,5m) + (10,4m x 15,17m)</t>
  </si>
  <si>
    <t>14 placas de 0,60m x 0,60m</t>
  </si>
  <si>
    <t>[(15,8 + 15,8 + 25,5 + 10,43 + 40,4/2 + 3,1 + 16,5 + 22)*2*0,7] + [(0,53 + 0,5 + 0,53)*(25,5 + 25,5 + 20,9)] + [(0,3 + 0,3 + 0,6)*22*2] + (3,1*1,4) + [(8,91*1,4)*2/2]</t>
  </si>
  <si>
    <t>{[(5,45*14,3) + (9,95*25,5)]*2} + (15,1*25,1) + (2,55*22) + (4,05*22) + (13,66*25,1) - somente 15% dessa área total</t>
  </si>
  <si>
    <t>Telhas, mantas e forros - espessura de 10mm - grau de empolamento de 50%
(217,99 + 314,04 + 5,04 + +229,56 + 362,84) x 0,01 x 150%</t>
  </si>
  <si>
    <t>2º pav: 6 und
3º pav: 6 und
4º pav: 1 und</t>
  </si>
  <si>
    <t>2º pav: 4 und
3º pav: 2 und</t>
  </si>
  <si>
    <t>2º pav: 2 und
3º pav: 4 und
4º pav: 1 und</t>
  </si>
  <si>
    <t>mesma área do item 010256</t>
  </si>
  <si>
    <t>mesma área do item 010280-1</t>
  </si>
  <si>
    <t>mesma área do item 010324</t>
  </si>
  <si>
    <t>mesma área do item 010333-1</t>
  </si>
  <si>
    <t>mesma área do item 010318-1</t>
  </si>
  <si>
    <t>mesma área do item 010230</t>
  </si>
  <si>
    <t>(6und x 0,80m x 2,10m x 2lados) + (7und x 0,80m x 2,10m x 1lado)</t>
  </si>
  <si>
    <t>ANEXO I-C</t>
  </si>
  <si>
    <t>TABELA DE CUSTOS REFERENCIAIS LABOR/CT - UFES PADRÃO IOPES - AGOSTO/2018</t>
  </si>
  <si>
    <r>
      <t>Fonte1:</t>
    </r>
    <r>
      <rPr>
        <sz val="11"/>
        <color theme="1"/>
        <rFont val="Calibri"/>
        <family val="2"/>
        <scheme val="minor"/>
      </rPr>
      <t> LABOR/CT-UFES PADRÃO IOPES AGOSTO/2018 (LS=128,33%; BDI=30,90%)</t>
    </r>
  </si>
  <si>
    <r>
      <t>Fonte2:</t>
    </r>
    <r>
      <rPr>
        <sz val="11"/>
        <color theme="1"/>
        <rFont val="Calibri"/>
        <family val="2"/>
        <scheme val="minor"/>
      </rPr>
      <t> PESQUISA DE MERCADO OUTUBRO/2018</t>
    </r>
  </si>
  <si>
    <r>
      <t xml:space="preserve">SINAPI/ES 73753/001
</t>
    </r>
    <r>
      <rPr>
        <sz val="10"/>
        <color theme="1"/>
        <rFont val="Calibri"/>
        <family val="2"/>
        <scheme val="minor"/>
      </rPr>
      <t>(09/2018)</t>
    </r>
  </si>
  <si>
    <t>74033/001</t>
  </si>
  <si>
    <t>73753/001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</si>
</sst>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indexed="62"/>
      <name val="Cambria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FCFC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21" fillId="0" borderId="0" applyFill="0" applyBorder="0" applyAlignment="0" applyProtection="0"/>
    <xf numFmtId="0" fontId="23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43" fontId="0" fillId="0" borderId="0" xfId="42" applyFont="1" applyFill="1" applyBorder="1" applyAlignment="1">
      <alignment horizontal="righ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43" fontId="18" fillId="33" borderId="0" xfId="42" applyFont="1" applyFill="1" applyBorder="1" applyAlignment="1">
      <alignment vertical="center"/>
    </xf>
    <xf numFmtId="0" fontId="16" fillId="34" borderId="13" xfId="0" applyFont="1" applyFill="1" applyBorder="1" applyAlignment="1">
      <alignment horizontal="center" vertical="center" wrapText="1"/>
    </xf>
    <xf numFmtId="0" fontId="16" fillId="0" borderId="0" xfId="0" quotePrefix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3" fontId="16" fillId="0" borderId="12" xfId="42" applyFont="1" applyFill="1" applyBorder="1" applyAlignment="1">
      <alignment horizontal="right" vertical="center" wrapText="1"/>
    </xf>
    <xf numFmtId="0" fontId="16" fillId="0" borderId="10" xfId="0" quotePrefix="1" applyFont="1" applyFill="1" applyBorder="1" applyAlignment="1">
      <alignment vertical="center" wrapText="1"/>
    </xf>
    <xf numFmtId="0" fontId="16" fillId="0" borderId="11" xfId="0" quotePrefix="1" applyFont="1" applyFill="1" applyBorder="1" applyAlignment="1">
      <alignment vertical="center" wrapText="1"/>
    </xf>
    <xf numFmtId="43" fontId="16" fillId="0" borderId="0" xfId="0" applyNumberFormat="1" applyFont="1" applyFill="1" applyAlignment="1">
      <alignment vertical="center"/>
    </xf>
    <xf numFmtId="43" fontId="16" fillId="0" borderId="0" xfId="0" applyNumberFormat="1" applyFont="1" applyAlignment="1">
      <alignment vertical="center"/>
    </xf>
    <xf numFmtId="43" fontId="18" fillId="0" borderId="0" xfId="0" applyNumberFormat="1" applyFont="1" applyAlignment="1">
      <alignment horizontal="center" vertical="center"/>
    </xf>
    <xf numFmtId="43" fontId="0" fillId="0" borderId="0" xfId="0" applyNumberFormat="1" applyAlignment="1">
      <alignment vertical="center"/>
    </xf>
    <xf numFmtId="43" fontId="0" fillId="0" borderId="0" xfId="0" applyNumberFormat="1" applyBorder="1" applyAlignment="1">
      <alignment vertical="center"/>
    </xf>
    <xf numFmtId="43" fontId="0" fillId="0" borderId="0" xfId="0" applyNumberFormat="1" applyFill="1" applyBorder="1" applyAlignment="1">
      <alignment horizontal="right" vertical="center" wrapText="1"/>
    </xf>
    <xf numFmtId="43" fontId="0" fillId="0" borderId="0" xfId="42" applyNumberFormat="1" applyFont="1" applyFill="1" applyBorder="1" applyAlignment="1">
      <alignment horizontal="right" vertical="center" wrapText="1"/>
    </xf>
    <xf numFmtId="43" fontId="16" fillId="0" borderId="11" xfId="0" quotePrefix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9" fillId="0" borderId="0" xfId="0" quotePrefix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2" fillId="0" borderId="0" xfId="0" quotePrefix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17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16" fillId="35" borderId="14" xfId="0" applyFont="1" applyFill="1" applyBorder="1" applyAlignment="1">
      <alignment vertical="center"/>
    </xf>
    <xf numFmtId="0" fontId="16" fillId="35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43" fontId="0" fillId="0" borderId="14" xfId="42" applyFont="1" applyBorder="1" applyAlignment="1">
      <alignment horizontal="right" vertical="center"/>
    </xf>
    <xf numFmtId="43" fontId="16" fillId="0" borderId="14" xfId="42" applyFont="1" applyBorder="1" applyAlignment="1">
      <alignment horizontal="right" vertical="center"/>
    </xf>
    <xf numFmtId="43" fontId="16" fillId="0" borderId="14" xfId="0" applyNumberFormat="1" applyFont="1" applyBorder="1" applyAlignment="1">
      <alignment horizontal="right" vertical="center"/>
    </xf>
    <xf numFmtId="43" fontId="19" fillId="34" borderId="1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3" fontId="16" fillId="0" borderId="0" xfId="42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22" xfId="0" quotePrefix="1" applyFill="1" applyBorder="1" applyAlignment="1">
      <alignment horizontal="left" vertical="center" wrapText="1"/>
    </xf>
    <xf numFmtId="43" fontId="0" fillId="0" borderId="23" xfId="42" applyFont="1" applyFill="1" applyBorder="1" applyAlignment="1">
      <alignment horizontal="right" vertical="center" wrapText="1"/>
    </xf>
    <xf numFmtId="0" fontId="16" fillId="0" borderId="27" xfId="0" quotePrefix="1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 wrapText="1"/>
    </xf>
    <xf numFmtId="43" fontId="0" fillId="0" borderId="28" xfId="0" applyNumberFormat="1" applyFill="1" applyBorder="1" applyAlignment="1">
      <alignment horizontal="right" vertical="center" wrapText="1"/>
    </xf>
    <xf numFmtId="0" fontId="0" fillId="0" borderId="29" xfId="0" applyFill="1" applyBorder="1" applyAlignment="1">
      <alignment horizontal="right" vertical="center" wrapText="1"/>
    </xf>
    <xf numFmtId="0" fontId="16" fillId="0" borderId="30" xfId="0" quotePrefix="1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43" fontId="0" fillId="0" borderId="31" xfId="0" applyNumberFormat="1" applyFill="1" applyBorder="1" applyAlignment="1">
      <alignment horizontal="right" vertical="center" wrapText="1"/>
    </xf>
    <xf numFmtId="0" fontId="0" fillId="0" borderId="32" xfId="0" applyFill="1" applyBorder="1" applyAlignment="1">
      <alignment horizontal="right" vertical="center" wrapText="1"/>
    </xf>
    <xf numFmtId="0" fontId="0" fillId="0" borderId="30" xfId="0" quotePrefix="1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43" fontId="0" fillId="0" borderId="32" xfId="42" applyFont="1" applyFill="1" applyBorder="1" applyAlignment="1">
      <alignment horizontal="right" vertical="center" wrapText="1"/>
    </xf>
    <xf numFmtId="0" fontId="0" fillId="0" borderId="33" xfId="0" quotePrefix="1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center" vertical="center" wrapText="1"/>
    </xf>
    <xf numFmtId="2" fontId="0" fillId="0" borderId="34" xfId="0" applyNumberFormat="1" applyFill="1" applyBorder="1" applyAlignment="1">
      <alignment horizontal="center" vertical="center" wrapText="1"/>
    </xf>
    <xf numFmtId="43" fontId="0" fillId="0" borderId="35" xfId="42" applyFont="1" applyFill="1" applyBorder="1" applyAlignment="1">
      <alignment horizontal="right" vertical="center" wrapText="1"/>
    </xf>
    <xf numFmtId="0" fontId="16" fillId="0" borderId="39" xfId="0" quotePrefix="1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0" fillId="0" borderId="40" xfId="0" applyFill="1" applyBorder="1" applyAlignment="1">
      <alignment horizontal="center" vertical="center" wrapText="1"/>
    </xf>
    <xf numFmtId="43" fontId="0" fillId="0" borderId="41" xfId="42" applyFont="1" applyFill="1" applyBorder="1" applyAlignment="1">
      <alignment horizontal="right" vertical="center" wrapText="1"/>
    </xf>
    <xf numFmtId="43" fontId="0" fillId="0" borderId="34" xfId="0" applyNumberFormat="1" applyFill="1" applyBorder="1" applyAlignment="1">
      <alignment horizontal="right" vertical="center" wrapText="1"/>
    </xf>
    <xf numFmtId="0" fontId="0" fillId="0" borderId="41" xfId="0" applyFill="1" applyBorder="1" applyAlignment="1">
      <alignment horizontal="right" vertical="center" wrapText="1"/>
    </xf>
    <xf numFmtId="0" fontId="19" fillId="0" borderId="30" xfId="0" quotePrefix="1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22" fillId="0" borderId="30" xfId="0" quotePrefix="1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33" xfId="0" quotePrefix="1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16" fillId="34" borderId="46" xfId="0" applyFont="1" applyFill="1" applyBorder="1" applyAlignment="1">
      <alignment horizontal="center" vertical="center" wrapText="1"/>
    </xf>
    <xf numFmtId="0" fontId="16" fillId="34" borderId="47" xfId="0" applyFont="1" applyFill="1" applyBorder="1" applyAlignment="1">
      <alignment horizontal="center" vertical="center" wrapText="1"/>
    </xf>
    <xf numFmtId="2" fontId="0" fillId="0" borderId="33" xfId="42" applyNumberFormat="1" applyFont="1" applyFill="1" applyBorder="1" applyAlignment="1">
      <alignment horizontal="center" vertical="center" wrapText="1"/>
    </xf>
    <xf numFmtId="0" fontId="0" fillId="0" borderId="27" xfId="0" applyNumberFormat="1" applyFill="1" applyBorder="1" applyAlignment="1">
      <alignment horizontal="center" vertical="center" wrapText="1"/>
    </xf>
    <xf numFmtId="0" fontId="0" fillId="0" borderId="30" xfId="0" applyNumberFormat="1" applyFill="1" applyBorder="1" applyAlignment="1">
      <alignment horizontal="center" vertical="center" wrapText="1"/>
    </xf>
    <xf numFmtId="0" fontId="0" fillId="0" borderId="30" xfId="42" applyNumberFormat="1" applyFont="1" applyFill="1" applyBorder="1" applyAlignment="1">
      <alignment horizontal="center" vertical="center" wrapText="1"/>
    </xf>
    <xf numFmtId="0" fontId="0" fillId="0" borderId="33" xfId="42" applyNumberFormat="1" applyFont="1" applyFill="1" applyBorder="1" applyAlignment="1">
      <alignment horizontal="center" vertical="center" wrapText="1"/>
    </xf>
    <xf numFmtId="0" fontId="0" fillId="0" borderId="39" xfId="42" applyNumberFormat="1" applyFon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30" xfId="0" quotePrefix="1" applyFont="1" applyFill="1" applyBorder="1" applyAlignment="1">
      <alignment horizontal="left" vertical="center" wrapText="1"/>
    </xf>
    <xf numFmtId="43" fontId="0" fillId="0" borderId="29" xfId="42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43" fontId="18" fillId="0" borderId="0" xfId="42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42" applyNumberFormat="1" applyFont="1" applyFill="1" applyBorder="1" applyAlignment="1">
      <alignment horizontal="center" vertical="center" wrapText="1"/>
    </xf>
    <xf numFmtId="0" fontId="18" fillId="0" borderId="0" xfId="42" applyNumberFormat="1" applyFont="1" applyFill="1" applyBorder="1" applyAlignment="1">
      <alignment horizontal="center" vertical="center"/>
    </xf>
    <xf numFmtId="0" fontId="0" fillId="0" borderId="33" xfId="0" quotePrefix="1" applyFont="1" applyFill="1" applyBorder="1" applyAlignment="1">
      <alignment horizontal="left" vertical="center" wrapText="1"/>
    </xf>
    <xf numFmtId="0" fontId="27" fillId="33" borderId="24" xfId="0" applyFont="1" applyFill="1" applyBorder="1" applyAlignment="1">
      <alignment vertical="center"/>
    </xf>
    <xf numFmtId="0" fontId="27" fillId="33" borderId="25" xfId="0" applyFont="1" applyFill="1" applyBorder="1" applyAlignment="1">
      <alignment vertical="center"/>
    </xf>
    <xf numFmtId="43" fontId="27" fillId="33" borderId="25" xfId="42" applyFont="1" applyFill="1" applyBorder="1" applyAlignment="1">
      <alignment vertical="center"/>
    </xf>
    <xf numFmtId="9" fontId="27" fillId="33" borderId="25" xfId="43" applyFont="1" applyFill="1" applyBorder="1" applyAlignment="1">
      <alignment horizontal="center" vertical="center"/>
    </xf>
    <xf numFmtId="43" fontId="27" fillId="33" borderId="26" xfId="42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0" fontId="0" fillId="0" borderId="0" xfId="43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48" xfId="0" quotePrefix="1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8" xfId="0" quotePrefix="1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 wrapText="1"/>
    </xf>
    <xf numFmtId="2" fontId="0" fillId="0" borderId="48" xfId="0" applyNumberFormat="1" applyFill="1" applyBorder="1" applyAlignment="1">
      <alignment horizontal="center" vertical="center" wrapText="1"/>
    </xf>
    <xf numFmtId="0" fontId="19" fillId="0" borderId="48" xfId="0" quotePrefix="1" applyFont="1" applyFill="1" applyBorder="1" applyAlignment="1">
      <alignment horizontal="left" vertical="center" wrapText="1"/>
    </xf>
    <xf numFmtId="0" fontId="19" fillId="0" borderId="48" xfId="0" applyFont="1" applyFill="1" applyBorder="1" applyAlignment="1">
      <alignment horizontal="left" vertical="center" wrapText="1"/>
    </xf>
    <xf numFmtId="0" fontId="22" fillId="0" borderId="48" xfId="0" quotePrefix="1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0" fillId="0" borderId="49" xfId="0" quotePrefix="1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center" wrapText="1"/>
    </xf>
    <xf numFmtId="0" fontId="0" fillId="0" borderId="49" xfId="0" applyFill="1" applyBorder="1" applyAlignment="1">
      <alignment horizontal="center" vertical="center" wrapText="1"/>
    </xf>
    <xf numFmtId="0" fontId="16" fillId="0" borderId="50" xfId="0" quotePrefix="1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0" fillId="0" borderId="50" xfId="0" applyFill="1" applyBorder="1" applyAlignment="1">
      <alignment horizontal="center" vertical="center" wrapText="1"/>
    </xf>
    <xf numFmtId="0" fontId="16" fillId="34" borderId="51" xfId="0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19" fillId="34" borderId="51" xfId="0" applyNumberFormat="1" applyFont="1" applyFill="1" applyBorder="1" applyAlignment="1">
      <alignment horizontal="center" vertical="center"/>
    </xf>
    <xf numFmtId="0" fontId="0" fillId="0" borderId="50" xfId="0" applyNumberFormat="1" applyFill="1" applyBorder="1" applyAlignment="1">
      <alignment horizontal="left" vertical="center" wrapText="1"/>
    </xf>
    <xf numFmtId="0" fontId="0" fillId="0" borderId="48" xfId="0" applyNumberFormat="1" applyFill="1" applyBorder="1" applyAlignment="1">
      <alignment horizontal="left" vertical="center" wrapText="1"/>
    </xf>
    <xf numFmtId="0" fontId="0" fillId="0" borderId="48" xfId="42" applyNumberFormat="1" applyFont="1" applyFill="1" applyBorder="1" applyAlignment="1">
      <alignment horizontal="left" vertical="center" wrapText="1"/>
    </xf>
    <xf numFmtId="0" fontId="0" fillId="0" borderId="49" xfId="0" applyNumberForma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28" fillId="0" borderId="0" xfId="0" quotePrefix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8" fillId="33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6" fillId="0" borderId="22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34" borderId="45" xfId="0" applyFont="1" applyFill="1" applyBorder="1" applyAlignment="1">
      <alignment horizontal="center" vertical="center"/>
    </xf>
    <xf numFmtId="0" fontId="16" fillId="34" borderId="36" xfId="0" applyFont="1" applyFill="1" applyBorder="1" applyAlignment="1">
      <alignment horizontal="center" vertical="center" wrapText="1"/>
    </xf>
    <xf numFmtId="0" fontId="16" fillId="34" borderId="42" xfId="0" applyFont="1" applyFill="1" applyBorder="1" applyAlignment="1">
      <alignment horizontal="center" vertical="center" wrapText="1"/>
    </xf>
    <xf numFmtId="0" fontId="16" fillId="34" borderId="37" xfId="0" applyFont="1" applyFill="1" applyBorder="1" applyAlignment="1">
      <alignment horizontal="center" vertical="center" wrapText="1"/>
    </xf>
    <xf numFmtId="0" fontId="16" fillId="34" borderId="43" xfId="0" applyFont="1" applyFill="1" applyBorder="1" applyAlignment="1">
      <alignment horizontal="center" vertical="center" wrapText="1"/>
    </xf>
    <xf numFmtId="43" fontId="19" fillId="34" borderId="37" xfId="0" applyNumberFormat="1" applyFont="1" applyFill="1" applyBorder="1" applyAlignment="1">
      <alignment horizontal="center" vertical="center" wrapText="1"/>
    </xf>
    <xf numFmtId="43" fontId="19" fillId="34" borderId="43" xfId="0" applyNumberFormat="1" applyFont="1" applyFill="1" applyBorder="1" applyAlignment="1">
      <alignment horizontal="center" vertical="center" wrapText="1"/>
    </xf>
    <xf numFmtId="0" fontId="16" fillId="34" borderId="38" xfId="0" applyFont="1" applyFill="1" applyBorder="1" applyAlignment="1">
      <alignment horizontal="center" vertical="center" wrapText="1"/>
    </xf>
    <xf numFmtId="0" fontId="16" fillId="34" borderId="4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35" borderId="15" xfId="0" applyFont="1" applyFill="1" applyBorder="1" applyAlignment="1">
      <alignment vertical="center"/>
    </xf>
    <xf numFmtId="0" fontId="16" fillId="35" borderId="16" xfId="0" applyFont="1" applyFill="1" applyBorder="1" applyAlignment="1">
      <alignment vertical="center"/>
    </xf>
    <xf numFmtId="0" fontId="16" fillId="35" borderId="17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15" xfId="0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4"/>
    <cellStyle name="Nota" xfId="15" builtinId="10" customBuiltin="1"/>
    <cellStyle name="Porcentagem" xfId="43" builtinId="5"/>
    <cellStyle name="Saída" xfId="10" builtinId="21" customBuiltin="1"/>
    <cellStyle name="Separador de milhares 2" xfId="45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46"/>
    <cellStyle name="Total" xfId="17" builtinId="25" customBuiltin="1"/>
    <cellStyle name="Vírgula" xfId="42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66675</xdr:rowOff>
    </xdr:from>
    <xdr:to>
      <xdr:col>5</xdr:col>
      <xdr:colOff>437515</xdr:colOff>
      <xdr:row>3</xdr:row>
      <xdr:rowOff>125095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66675"/>
          <a:ext cx="5400040" cy="629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66675</xdr:rowOff>
    </xdr:from>
    <xdr:to>
      <xdr:col>5</xdr:col>
      <xdr:colOff>570865</xdr:colOff>
      <xdr:row>3</xdr:row>
      <xdr:rowOff>125095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66675"/>
          <a:ext cx="5400040" cy="629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3209925</xdr:colOff>
      <xdr:row>0</xdr:row>
      <xdr:rowOff>66675</xdr:rowOff>
    </xdr:from>
    <xdr:to>
      <xdr:col>8</xdr:col>
      <xdr:colOff>104140</xdr:colOff>
      <xdr:row>3</xdr:row>
      <xdr:rowOff>125095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66675"/>
          <a:ext cx="5400040" cy="629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2266950</xdr:colOff>
      <xdr:row>1</xdr:row>
      <xdr:rowOff>0</xdr:rowOff>
    </xdr:from>
    <xdr:to>
      <xdr:col>7</xdr:col>
      <xdr:colOff>304165</xdr:colOff>
      <xdr:row>4</xdr:row>
      <xdr:rowOff>58420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190500"/>
          <a:ext cx="5400040" cy="629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tabSelected="1" zoomScaleNormal="100" workbookViewId="0">
      <pane ySplit="13" topLeftCell="A14" activePane="bottomLeft" state="frozen"/>
      <selection pane="bottomLeft" activeCell="B6" sqref="B6:G6"/>
    </sheetView>
  </sheetViews>
  <sheetFormatPr defaultRowHeight="15" x14ac:dyDescent="0.25"/>
  <cols>
    <col min="1" max="1" width="9.140625" style="1"/>
    <col min="2" max="2" width="12.7109375" style="7" customWidth="1"/>
    <col min="3" max="3" width="60.7109375" style="1" customWidth="1"/>
    <col min="4" max="5" width="12.7109375" style="1" customWidth="1"/>
    <col min="6" max="6" width="14.7109375" style="28" customWidth="1"/>
    <col min="7" max="7" width="16" style="1" bestFit="1" customWidth="1"/>
    <col min="8" max="8" width="8.7109375" style="58" customWidth="1"/>
    <col min="9" max="10" width="8.7109375" style="1" customWidth="1"/>
    <col min="11" max="16384" width="9.140625" style="1"/>
  </cols>
  <sheetData>
    <row r="1" spans="2:9" ht="15" customHeight="1" x14ac:dyDescent="0.25">
      <c r="B1" s="3"/>
      <c r="C1" s="3"/>
      <c r="D1" s="3"/>
      <c r="E1" s="3"/>
      <c r="F1" s="25"/>
    </row>
    <row r="2" spans="2:9" ht="15" customHeight="1" x14ac:dyDescent="0.25">
      <c r="B2" s="3"/>
      <c r="C2" s="2"/>
      <c r="D2" s="2"/>
      <c r="E2" s="2"/>
      <c r="F2" s="26"/>
    </row>
    <row r="3" spans="2:9" ht="15" customHeight="1" x14ac:dyDescent="0.25">
      <c r="B3" s="3"/>
      <c r="C3" s="2"/>
      <c r="D3" s="2"/>
      <c r="E3" s="2"/>
      <c r="F3" s="26"/>
    </row>
    <row r="4" spans="2:9" ht="15" customHeight="1" x14ac:dyDescent="0.25">
      <c r="B4" s="3"/>
      <c r="C4" s="2"/>
      <c r="D4" s="2"/>
      <c r="E4" s="2"/>
      <c r="F4" s="26"/>
    </row>
    <row r="5" spans="2:9" ht="15" customHeight="1" x14ac:dyDescent="0.25">
      <c r="B5" s="152" t="s">
        <v>179</v>
      </c>
      <c r="C5" s="152"/>
      <c r="D5" s="152"/>
      <c r="E5" s="152"/>
      <c r="F5" s="152"/>
      <c r="G5" s="152"/>
      <c r="H5" s="57"/>
    </row>
    <row r="6" spans="2:9" ht="26.25" x14ac:dyDescent="0.25">
      <c r="B6" s="151" t="s">
        <v>51</v>
      </c>
      <c r="C6" s="151"/>
      <c r="D6" s="151"/>
      <c r="E6" s="151"/>
      <c r="F6" s="151"/>
      <c r="G6" s="151"/>
      <c r="H6" s="56"/>
    </row>
    <row r="7" spans="2:9" ht="5.0999999999999996" customHeight="1" x14ac:dyDescent="0.25">
      <c r="B7" s="6"/>
      <c r="C7" s="5"/>
      <c r="D7" s="5"/>
      <c r="E7" s="5"/>
      <c r="F7" s="27"/>
      <c r="G7" s="5"/>
      <c r="H7" s="8"/>
    </row>
    <row r="8" spans="2:9" ht="15" customHeight="1" x14ac:dyDescent="0.25">
      <c r="B8" s="3" t="s">
        <v>92</v>
      </c>
      <c r="C8" s="2"/>
      <c r="D8" s="2"/>
      <c r="E8" s="2"/>
      <c r="F8" s="26"/>
    </row>
    <row r="9" spans="2:9" x14ac:dyDescent="0.25">
      <c r="B9" s="3" t="s">
        <v>43</v>
      </c>
    </row>
    <row r="10" spans="2:9" x14ac:dyDescent="0.25">
      <c r="B10" s="3" t="s">
        <v>44</v>
      </c>
      <c r="C10" s="2"/>
      <c r="D10" s="2"/>
      <c r="E10" s="2"/>
      <c r="F10" s="26"/>
    </row>
    <row r="11" spans="2:9" x14ac:dyDescent="0.25">
      <c r="B11" s="9" t="s">
        <v>180</v>
      </c>
      <c r="C11" s="2"/>
      <c r="D11" s="2"/>
      <c r="E11" s="2"/>
      <c r="F11" s="26"/>
    </row>
    <row r="12" spans="2:9" ht="9.9499999999999993" customHeight="1" x14ac:dyDescent="0.25">
      <c r="B12" s="10"/>
      <c r="C12" s="11"/>
      <c r="D12" s="11"/>
      <c r="E12" s="11"/>
      <c r="F12" s="29"/>
    </row>
    <row r="13" spans="2:9" s="4" customFormat="1" ht="15.75" thickBot="1" x14ac:dyDescent="0.3">
      <c r="B13" s="19" t="s">
        <v>0</v>
      </c>
      <c r="C13" s="19" t="s">
        <v>1</v>
      </c>
      <c r="D13" s="19" t="s">
        <v>2</v>
      </c>
      <c r="E13" s="19" t="s">
        <v>19</v>
      </c>
      <c r="F13" s="53" t="s">
        <v>3</v>
      </c>
      <c r="G13" s="19" t="s">
        <v>20</v>
      </c>
      <c r="H13" s="103"/>
    </row>
    <row r="14" spans="2:9" ht="15.75" thickTop="1" x14ac:dyDescent="0.25">
      <c r="B14" s="20" t="s">
        <v>28</v>
      </c>
      <c r="C14" s="21" t="s">
        <v>4</v>
      </c>
      <c r="D14" s="14"/>
      <c r="E14" s="14"/>
      <c r="F14" s="30"/>
      <c r="G14" s="15"/>
      <c r="H14" s="15"/>
    </row>
    <row r="15" spans="2:9" x14ac:dyDescent="0.25">
      <c r="B15" s="20" t="s">
        <v>29</v>
      </c>
      <c r="C15" s="21" t="s">
        <v>5</v>
      </c>
      <c r="D15" s="14"/>
      <c r="E15" s="14"/>
      <c r="F15" s="30"/>
      <c r="G15" s="15"/>
      <c r="H15" s="15"/>
    </row>
    <row r="16" spans="2:9" x14ac:dyDescent="0.25">
      <c r="B16" s="12" t="s">
        <v>104</v>
      </c>
      <c r="C16" s="13" t="s">
        <v>105</v>
      </c>
      <c r="D16" s="14" t="s">
        <v>9</v>
      </c>
      <c r="E16" s="14">
        <f>ROUND(E43+E44,2)</f>
        <v>13</v>
      </c>
      <c r="F16" s="30">
        <v>24.48</v>
      </c>
      <c r="G16" s="16">
        <f>ROUND(E16*F16,2)</f>
        <v>318.24</v>
      </c>
      <c r="H16" s="16"/>
      <c r="I16" s="118">
        <f>G16/$G$79</f>
        <v>1.8092990603515852E-3</v>
      </c>
    </row>
    <row r="17" spans="1:10" x14ac:dyDescent="0.25">
      <c r="B17" s="12" t="s">
        <v>30</v>
      </c>
      <c r="C17" s="13" t="s">
        <v>10</v>
      </c>
      <c r="D17" s="14" t="s">
        <v>6</v>
      </c>
      <c r="E17" s="14">
        <f>ROUND((7*1.2*1.2)+(3*4.8)+(1.8*3)+(1.2*1.8)+(3*4.6)+(2.7*4.8)+(1.5*2.3),2)</f>
        <v>62.25</v>
      </c>
      <c r="F17" s="30">
        <v>5.12</v>
      </c>
      <c r="G17" s="16">
        <f t="shared" ref="G17:G20" si="0">ROUND(E17*F17,2)</f>
        <v>318.72000000000003</v>
      </c>
      <c r="H17" s="16"/>
      <c r="I17" s="118">
        <f t="shared" ref="I17:I20" si="1">G17/$G$79</f>
        <v>1.8120280182103358E-3</v>
      </c>
    </row>
    <row r="18" spans="1:10" ht="30" x14ac:dyDescent="0.25">
      <c r="B18" s="12" t="s">
        <v>31</v>
      </c>
      <c r="C18" s="13" t="s">
        <v>11</v>
      </c>
      <c r="D18" s="14" t="s">
        <v>6</v>
      </c>
      <c r="E18" s="14">
        <f>E17</f>
        <v>62.25</v>
      </c>
      <c r="F18" s="30">
        <v>3.01</v>
      </c>
      <c r="G18" s="16">
        <f t="shared" si="0"/>
        <v>187.37</v>
      </c>
      <c r="H18" s="16"/>
      <c r="I18" s="118">
        <f t="shared" si="1"/>
        <v>1.0652600708210046E-3</v>
      </c>
    </row>
    <row r="19" spans="1:10" x14ac:dyDescent="0.25">
      <c r="B19" s="12" t="s">
        <v>45</v>
      </c>
      <c r="C19" s="13" t="s">
        <v>21</v>
      </c>
      <c r="D19" s="14" t="s">
        <v>6</v>
      </c>
      <c r="E19" s="14">
        <f>ROUND((20.9*10.43),2)</f>
        <v>217.99</v>
      </c>
      <c r="F19" s="30">
        <v>6.14</v>
      </c>
      <c r="G19" s="16">
        <f t="shared" ref="G19" si="2">ROUND(E19*F19,2)</f>
        <v>1338.46</v>
      </c>
      <c r="H19" s="16"/>
      <c r="I19" s="118">
        <f t="shared" si="1"/>
        <v>7.6095852825483375E-3</v>
      </c>
    </row>
    <row r="20" spans="1:10" ht="30" x14ac:dyDescent="0.25">
      <c r="B20" s="12" t="s">
        <v>108</v>
      </c>
      <c r="C20" s="13" t="s">
        <v>143</v>
      </c>
      <c r="D20" s="14" t="s">
        <v>6</v>
      </c>
      <c r="E20" s="14">
        <f>ROUND((6.65*23.5)+(10.4*15.17),2)</f>
        <v>314.04000000000002</v>
      </c>
      <c r="F20" s="30">
        <v>6.99</v>
      </c>
      <c r="G20" s="16">
        <f t="shared" si="0"/>
        <v>2195.14</v>
      </c>
      <c r="H20" s="16"/>
      <c r="I20" s="118">
        <f t="shared" si="1"/>
        <v>1.2480092820953302E-2</v>
      </c>
    </row>
    <row r="21" spans="1:10" x14ac:dyDescent="0.25">
      <c r="B21" s="12"/>
      <c r="C21" s="13"/>
      <c r="D21" s="14"/>
      <c r="E21" s="14"/>
      <c r="F21" s="30"/>
      <c r="G21" s="16"/>
      <c r="H21" s="16"/>
    </row>
    <row r="22" spans="1:10" x14ac:dyDescent="0.25">
      <c r="B22" s="20" t="s">
        <v>32</v>
      </c>
      <c r="C22" s="21" t="s">
        <v>5</v>
      </c>
      <c r="D22" s="14"/>
      <c r="E22" s="14"/>
      <c r="F22" s="30"/>
      <c r="G22" s="15"/>
      <c r="H22" s="15"/>
    </row>
    <row r="23" spans="1:10" x14ac:dyDescent="0.25">
      <c r="B23" s="12" t="s">
        <v>106</v>
      </c>
      <c r="C23" s="13" t="s">
        <v>110</v>
      </c>
      <c r="D23" s="14" t="s">
        <v>6</v>
      </c>
      <c r="E23" s="14">
        <f>ROUND(0.6*0.6*(2+1+2+2+4+1+1+1),2)</f>
        <v>5.04</v>
      </c>
      <c r="F23" s="30">
        <v>11.35</v>
      </c>
      <c r="G23" s="16">
        <f>ROUND(E23*F23,2)</f>
        <v>57.2</v>
      </c>
      <c r="H23" s="16"/>
      <c r="I23" s="118">
        <f t="shared" ref="I23:I25" si="3">G23/$G$79</f>
        <v>3.2520081150110193E-4</v>
      </c>
    </row>
    <row r="24" spans="1:10" x14ac:dyDescent="0.25">
      <c r="B24" s="12" t="s">
        <v>93</v>
      </c>
      <c r="C24" s="13" t="s">
        <v>94</v>
      </c>
      <c r="D24" s="14" t="s">
        <v>6</v>
      </c>
      <c r="E24" s="14">
        <f>ROUND(((((5.45*14.3)+(9.95*25.5))*2)+(15.1*25.1)+(2.55*22)+(4.05*22)+(13.66*25.1))*15%,2)</f>
        <v>229.56</v>
      </c>
      <c r="F24" s="30">
        <v>7.07</v>
      </c>
      <c r="G24" s="16">
        <f>ROUND(E24*F24,2)</f>
        <v>1622.99</v>
      </c>
      <c r="H24" s="16"/>
      <c r="I24" s="118">
        <f t="shared" si="3"/>
        <v>9.2272319066114238E-3</v>
      </c>
      <c r="J24" s="33" t="s">
        <v>109</v>
      </c>
    </row>
    <row r="25" spans="1:10" x14ac:dyDescent="0.25">
      <c r="B25" s="12" t="s">
        <v>111</v>
      </c>
      <c r="C25" s="13" t="s">
        <v>46</v>
      </c>
      <c r="D25" s="14" t="s">
        <v>6</v>
      </c>
      <c r="E25" s="17">
        <f>ROUND(((15.8+15.8+25.5+10.43+40.4/2+3.1+16.5+22)*2*0.7)+((0.53+0.5+0.53)*(25.5+25.5+20.9))+((0.3+0.3+0.6)*22*2)+(3.1*1.4)+(8.91*1.4*2/2),2)</f>
        <v>362.84</v>
      </c>
      <c r="F25" s="31">
        <v>6.72</v>
      </c>
      <c r="G25" s="16">
        <f>ROUND(E25*F25,2)</f>
        <v>2438.2800000000002</v>
      </c>
      <c r="H25" s="16"/>
      <c r="I25" s="118">
        <f t="shared" si="3"/>
        <v>1.3862423682987882E-2</v>
      </c>
    </row>
    <row r="26" spans="1:10" x14ac:dyDescent="0.25">
      <c r="B26" s="12"/>
      <c r="C26" s="13"/>
      <c r="D26" s="14"/>
      <c r="E26" s="17"/>
      <c r="F26" s="31"/>
      <c r="G26" s="16"/>
      <c r="H26" s="16"/>
    </row>
    <row r="27" spans="1:10" ht="15" customHeight="1" x14ac:dyDescent="0.25">
      <c r="B27" s="23"/>
      <c r="C27" s="24"/>
      <c r="D27" s="24"/>
      <c r="E27" s="24"/>
      <c r="F27" s="32" t="s">
        <v>52</v>
      </c>
      <c r="G27" s="22">
        <f>SUM(G14:G26)</f>
        <v>8476.4</v>
      </c>
      <c r="H27" s="55"/>
    </row>
    <row r="28" spans="1:10" x14ac:dyDescent="0.25">
      <c r="B28" s="12"/>
      <c r="C28" s="13"/>
      <c r="D28" s="14"/>
      <c r="E28" s="17"/>
      <c r="F28" s="31"/>
      <c r="G28" s="16"/>
      <c r="H28" s="16"/>
    </row>
    <row r="29" spans="1:10" x14ac:dyDescent="0.25">
      <c r="A29" s="7"/>
      <c r="B29" s="20" t="s">
        <v>40</v>
      </c>
      <c r="C29" s="21" t="s">
        <v>22</v>
      </c>
      <c r="D29" s="14"/>
      <c r="E29" s="14"/>
      <c r="F29" s="30"/>
      <c r="G29" s="16"/>
      <c r="H29" s="16"/>
    </row>
    <row r="30" spans="1:10" x14ac:dyDescent="0.25">
      <c r="B30" s="20" t="s">
        <v>41</v>
      </c>
      <c r="C30" s="21" t="s">
        <v>23</v>
      </c>
      <c r="D30" s="14"/>
      <c r="E30" s="14"/>
      <c r="F30" s="30"/>
      <c r="G30" s="16"/>
      <c r="H30" s="16"/>
    </row>
    <row r="31" spans="1:10" ht="30" x14ac:dyDescent="0.25">
      <c r="B31" s="12" t="s">
        <v>42</v>
      </c>
      <c r="C31" s="13" t="s">
        <v>24</v>
      </c>
      <c r="D31" s="14" t="s">
        <v>8</v>
      </c>
      <c r="E31" s="14">
        <f>4*9*3</f>
        <v>108</v>
      </c>
      <c r="F31" s="30">
        <v>10.51</v>
      </c>
      <c r="G31" s="16">
        <f>E31*F31</f>
        <v>1135.08</v>
      </c>
      <c r="H31" s="16"/>
      <c r="I31" s="118">
        <f>G31/$G$79</f>
        <v>6.4533030964802575E-3</v>
      </c>
      <c r="J31" s="1" t="s">
        <v>152</v>
      </c>
    </row>
    <row r="32" spans="1:10" ht="15" customHeight="1" x14ac:dyDescent="0.25">
      <c r="B32" s="12"/>
      <c r="C32" s="13"/>
      <c r="D32" s="14"/>
      <c r="E32" s="14"/>
      <c r="F32" s="30"/>
      <c r="G32" s="16"/>
      <c r="H32" s="16"/>
    </row>
    <row r="33" spans="1:9" ht="15" customHeight="1" x14ac:dyDescent="0.25">
      <c r="B33" s="23"/>
      <c r="C33" s="24"/>
      <c r="D33" s="24"/>
      <c r="E33" s="24"/>
      <c r="F33" s="32" t="s">
        <v>53</v>
      </c>
      <c r="G33" s="22">
        <f>SUM(G28:G32)</f>
        <v>1135.08</v>
      </c>
      <c r="H33" s="55"/>
    </row>
    <row r="34" spans="1:9" ht="15" customHeight="1" x14ac:dyDescent="0.25">
      <c r="B34" s="12"/>
      <c r="C34" s="13"/>
      <c r="D34" s="14"/>
      <c r="E34" s="14"/>
      <c r="F34" s="30"/>
      <c r="G34" s="16"/>
      <c r="H34" s="16"/>
    </row>
    <row r="35" spans="1:9" x14ac:dyDescent="0.25">
      <c r="B35" s="20" t="s">
        <v>33</v>
      </c>
      <c r="C35" s="21" t="s">
        <v>12</v>
      </c>
      <c r="D35" s="14"/>
      <c r="E35" s="14"/>
      <c r="F35" s="30"/>
      <c r="G35" s="15"/>
      <c r="H35" s="15"/>
    </row>
    <row r="36" spans="1:9" x14ac:dyDescent="0.25">
      <c r="B36" s="20" t="s">
        <v>34</v>
      </c>
      <c r="C36" s="21" t="s">
        <v>13</v>
      </c>
      <c r="D36" s="14"/>
      <c r="E36" s="14"/>
      <c r="F36" s="30"/>
      <c r="G36" s="15"/>
      <c r="H36" s="15"/>
    </row>
    <row r="37" spans="1:9" ht="45" customHeight="1" x14ac:dyDescent="0.25">
      <c r="B37" s="12" t="s">
        <v>35</v>
      </c>
      <c r="C37" s="13" t="s">
        <v>14</v>
      </c>
      <c r="D37" s="14" t="s">
        <v>7</v>
      </c>
      <c r="E37" s="14">
        <f>ROUND((E19*0.01+E20*0.01+E23*0.01+E24*0.01+E25*0.01)*150%,2)</f>
        <v>16.940000000000001</v>
      </c>
      <c r="F37" s="30">
        <v>59.68</v>
      </c>
      <c r="G37" s="16">
        <f>ROUND(E37*F37,2)</f>
        <v>1010.98</v>
      </c>
      <c r="H37" s="16"/>
      <c r="I37" s="118">
        <f>G37/$G$79</f>
        <v>5.7477537834158049E-3</v>
      </c>
    </row>
    <row r="38" spans="1:9" x14ac:dyDescent="0.25">
      <c r="B38" s="12"/>
      <c r="C38" s="13"/>
      <c r="D38" s="14"/>
      <c r="E38" s="14"/>
      <c r="F38" s="30"/>
      <c r="G38" s="16"/>
      <c r="H38" s="16"/>
    </row>
    <row r="39" spans="1:9" ht="15" customHeight="1" x14ac:dyDescent="0.25">
      <c r="B39" s="23"/>
      <c r="C39" s="24"/>
      <c r="D39" s="24"/>
      <c r="E39" s="24"/>
      <c r="F39" s="32" t="s">
        <v>54</v>
      </c>
      <c r="G39" s="22">
        <f>SUM(G34:G38)</f>
        <v>1010.98</v>
      </c>
      <c r="H39" s="55"/>
    </row>
    <row r="40" spans="1:9" x14ac:dyDescent="0.25">
      <c r="B40" s="12"/>
      <c r="C40" s="13"/>
      <c r="D40" s="14"/>
      <c r="E40" s="14"/>
      <c r="F40" s="30"/>
      <c r="G40" s="16"/>
      <c r="H40" s="16"/>
    </row>
    <row r="41" spans="1:9" x14ac:dyDescent="0.25">
      <c r="B41" s="20" t="s">
        <v>36</v>
      </c>
      <c r="C41" s="21" t="s">
        <v>15</v>
      </c>
      <c r="D41" s="14"/>
      <c r="E41" s="14"/>
      <c r="F41" s="30"/>
      <c r="G41" s="15"/>
      <c r="H41" s="15"/>
    </row>
    <row r="42" spans="1:9" ht="60" x14ac:dyDescent="0.25">
      <c r="A42" s="7"/>
      <c r="B42" s="38" t="s">
        <v>113</v>
      </c>
      <c r="C42" s="39" t="s">
        <v>112</v>
      </c>
      <c r="D42" s="14"/>
      <c r="E42" s="14"/>
      <c r="F42" s="30"/>
      <c r="G42" s="15"/>
      <c r="H42" s="15"/>
    </row>
    <row r="43" spans="1:9" ht="60" x14ac:dyDescent="0.25">
      <c r="A43" s="7"/>
      <c r="B43" s="40" t="s">
        <v>115</v>
      </c>
      <c r="C43" s="41" t="s">
        <v>114</v>
      </c>
      <c r="D43" s="14" t="s">
        <v>9</v>
      </c>
      <c r="E43" s="14">
        <v>6</v>
      </c>
      <c r="F43" s="30">
        <v>1215.58</v>
      </c>
      <c r="G43" s="16">
        <f>ROUND(E43*F43,2)</f>
        <v>7293.48</v>
      </c>
      <c r="H43" s="16"/>
      <c r="I43" s="118">
        <f t="shared" ref="I43:I44" si="4">G43/$G$79</f>
        <v>4.1465832424249241E-2</v>
      </c>
    </row>
    <row r="44" spans="1:9" ht="75" x14ac:dyDescent="0.25">
      <c r="B44" s="40" t="s">
        <v>117</v>
      </c>
      <c r="C44" s="41" t="s">
        <v>116</v>
      </c>
      <c r="D44" s="14" t="s">
        <v>9</v>
      </c>
      <c r="E44" s="14">
        <v>7</v>
      </c>
      <c r="F44" s="30">
        <v>1291.93</v>
      </c>
      <c r="G44" s="16">
        <f>ROUND(E44*F44,2)</f>
        <v>9043.51</v>
      </c>
      <c r="H44" s="16"/>
      <c r="I44" s="118">
        <f t="shared" si="4"/>
        <v>5.1415328510809967E-2</v>
      </c>
    </row>
    <row r="45" spans="1:9" x14ac:dyDescent="0.25">
      <c r="B45" s="12"/>
      <c r="C45" s="13"/>
      <c r="D45" s="14"/>
      <c r="E45" s="14"/>
      <c r="F45" s="30"/>
      <c r="G45" s="16"/>
      <c r="H45" s="16"/>
    </row>
    <row r="46" spans="1:9" ht="15" customHeight="1" x14ac:dyDescent="0.25">
      <c r="B46" s="23"/>
      <c r="C46" s="24"/>
      <c r="D46" s="24"/>
      <c r="E46" s="24"/>
      <c r="F46" s="32" t="s">
        <v>55</v>
      </c>
      <c r="G46" s="22">
        <f>SUM(G40:G45)</f>
        <v>16336.99</v>
      </c>
      <c r="H46" s="55"/>
    </row>
    <row r="47" spans="1:9" x14ac:dyDescent="0.25">
      <c r="B47" s="12"/>
      <c r="C47" s="13"/>
      <c r="D47" s="14"/>
      <c r="E47" s="14"/>
      <c r="F47" s="30"/>
      <c r="G47" s="16"/>
      <c r="H47" s="16"/>
    </row>
    <row r="48" spans="1:9" x14ac:dyDescent="0.25">
      <c r="B48" s="20" t="s">
        <v>50</v>
      </c>
      <c r="C48" s="21" t="s">
        <v>25</v>
      </c>
      <c r="D48" s="14"/>
      <c r="E48" s="14"/>
      <c r="F48" s="30"/>
      <c r="G48" s="16"/>
      <c r="H48" s="16"/>
    </row>
    <row r="49" spans="2:16" x14ac:dyDescent="0.25">
      <c r="B49" s="20" t="s">
        <v>127</v>
      </c>
      <c r="C49" s="21" t="s">
        <v>128</v>
      </c>
      <c r="D49" s="14"/>
      <c r="E49" s="14"/>
      <c r="F49" s="30"/>
      <c r="G49" s="16"/>
      <c r="H49" s="16"/>
    </row>
    <row r="50" spans="2:16" ht="30" x14ac:dyDescent="0.25">
      <c r="B50" s="12" t="s">
        <v>118</v>
      </c>
      <c r="C50" s="13" t="s">
        <v>107</v>
      </c>
      <c r="D50" s="14" t="s">
        <v>6</v>
      </c>
      <c r="E50" s="14">
        <f>E19</f>
        <v>217.99</v>
      </c>
      <c r="F50" s="30">
        <v>46.09</v>
      </c>
      <c r="G50" s="16">
        <f t="shared" ref="G50:G52" si="5">ROUND(E50*F50,2)</f>
        <v>10047.16</v>
      </c>
      <c r="H50" s="16"/>
      <c r="I50" s="118">
        <f t="shared" ref="I50:I52" si="6">G50/$G$79</f>
        <v>5.7121408833591104E-2</v>
      </c>
      <c r="K50" s="42">
        <v>42156</v>
      </c>
      <c r="L50" s="42">
        <v>43101</v>
      </c>
      <c r="N50" s="42">
        <v>42156</v>
      </c>
      <c r="O50" s="42">
        <v>43101</v>
      </c>
      <c r="P50" s="42"/>
    </row>
    <row r="51" spans="2:16" x14ac:dyDescent="0.25">
      <c r="B51" s="12" t="s">
        <v>141</v>
      </c>
      <c r="C51" s="13" t="s">
        <v>142</v>
      </c>
      <c r="D51" s="14" t="s">
        <v>6</v>
      </c>
      <c r="E51" s="14">
        <f>E20</f>
        <v>314.04000000000002</v>
      </c>
      <c r="F51" s="30">
        <f>comp_telha_policarb.!F33</f>
        <v>208.68</v>
      </c>
      <c r="G51" s="16">
        <f t="shared" si="5"/>
        <v>65533.87</v>
      </c>
      <c r="H51" s="16"/>
      <c r="I51" s="118">
        <f t="shared" si="6"/>
        <v>0.37258160323090417</v>
      </c>
      <c r="K51" s="43" t="s">
        <v>118</v>
      </c>
      <c r="L51" s="43" t="s">
        <v>118</v>
      </c>
      <c r="N51" s="43" t="s">
        <v>95</v>
      </c>
      <c r="O51" s="43" t="s">
        <v>119</v>
      </c>
      <c r="P51" s="43"/>
    </row>
    <row r="52" spans="2:16" ht="30" x14ac:dyDescent="0.25">
      <c r="B52" s="12" t="s">
        <v>119</v>
      </c>
      <c r="C52" s="13" t="s">
        <v>96</v>
      </c>
      <c r="D52" s="14" t="s">
        <v>6</v>
      </c>
      <c r="E52" s="14">
        <f>E24</f>
        <v>229.56</v>
      </c>
      <c r="F52" s="30">
        <f>O52</f>
        <v>116.64</v>
      </c>
      <c r="G52" s="16">
        <f t="shared" si="5"/>
        <v>26775.88</v>
      </c>
      <c r="H52" s="16"/>
      <c r="I52" s="118">
        <f t="shared" si="6"/>
        <v>0.15222968364783435</v>
      </c>
      <c r="K52" s="4">
        <v>42.96</v>
      </c>
      <c r="L52" s="4">
        <v>46.09</v>
      </c>
      <c r="M52" s="1">
        <f>L52/K52</f>
        <v>1.0728584729981379</v>
      </c>
      <c r="N52" s="4">
        <v>108.72</v>
      </c>
      <c r="O52" s="4">
        <f>ROUND(N52*M52,2)</f>
        <v>116.64</v>
      </c>
      <c r="P52" s="4"/>
    </row>
    <row r="53" spans="2:16" ht="15" customHeight="1" x14ac:dyDescent="0.25">
      <c r="B53" s="12"/>
      <c r="C53" s="13"/>
      <c r="D53" s="14"/>
      <c r="E53" s="14"/>
      <c r="F53" s="30"/>
      <c r="G53" s="16"/>
      <c r="H53" s="16"/>
    </row>
    <row r="54" spans="2:16" ht="15" customHeight="1" x14ac:dyDescent="0.25">
      <c r="B54" s="23"/>
      <c r="C54" s="24"/>
      <c r="D54" s="24"/>
      <c r="E54" s="24"/>
      <c r="F54" s="32" t="s">
        <v>56</v>
      </c>
      <c r="G54" s="22">
        <f>SUM(G47:G53)</f>
        <v>102356.91</v>
      </c>
      <c r="H54" s="55"/>
    </row>
    <row r="55" spans="2:16" ht="15" customHeight="1" x14ac:dyDescent="0.25">
      <c r="B55" s="12"/>
      <c r="C55" s="13"/>
      <c r="D55" s="14"/>
      <c r="E55" s="14"/>
      <c r="F55" s="30"/>
      <c r="G55" s="16"/>
      <c r="H55" s="16"/>
    </row>
    <row r="56" spans="2:16" x14ac:dyDescent="0.25">
      <c r="B56" s="20" t="s">
        <v>47</v>
      </c>
      <c r="C56" s="21" t="s">
        <v>26</v>
      </c>
      <c r="D56" s="14"/>
      <c r="E56" s="14"/>
      <c r="F56" s="30"/>
      <c r="G56" s="16"/>
      <c r="H56" s="16"/>
      <c r="K56" s="42">
        <v>43132</v>
      </c>
      <c r="L56" s="42">
        <v>43344</v>
      </c>
      <c r="M56" s="119"/>
      <c r="N56" s="42">
        <v>43132</v>
      </c>
      <c r="O56" s="42">
        <v>43344</v>
      </c>
    </row>
    <row r="57" spans="2:16" ht="30" x14ac:dyDescent="0.25">
      <c r="B57" s="20" t="s">
        <v>48</v>
      </c>
      <c r="C57" s="21" t="s">
        <v>27</v>
      </c>
      <c r="D57" s="14"/>
      <c r="E57" s="14"/>
      <c r="F57" s="30"/>
      <c r="G57" s="16"/>
      <c r="H57" s="16"/>
      <c r="K57" s="148" t="s">
        <v>184</v>
      </c>
      <c r="L57" s="148" t="s">
        <v>184</v>
      </c>
      <c r="M57" s="149"/>
      <c r="N57" s="148" t="s">
        <v>185</v>
      </c>
      <c r="O57" s="148" t="s">
        <v>185</v>
      </c>
    </row>
    <row r="58" spans="2:16" ht="45" x14ac:dyDescent="0.25">
      <c r="B58" s="13" t="s">
        <v>183</v>
      </c>
      <c r="C58" s="13" t="s">
        <v>49</v>
      </c>
      <c r="D58" s="14" t="s">
        <v>6</v>
      </c>
      <c r="E58" s="17">
        <f>E25</f>
        <v>362.84</v>
      </c>
      <c r="F58" s="30">
        <f>ROUND(O58*1.309,2)</f>
        <v>119.16</v>
      </c>
      <c r="G58" s="16">
        <f>ROUND(E58*F58,2)</f>
        <v>43236.01</v>
      </c>
      <c r="H58" s="16"/>
      <c r="I58" s="118">
        <f>G58/$G$79</f>
        <v>0.24581093598024054</v>
      </c>
      <c r="K58" s="4">
        <v>40.53</v>
      </c>
      <c r="L58" s="4">
        <v>46.09</v>
      </c>
      <c r="M58" s="119">
        <f>L58/K58</f>
        <v>1.1371823340735259</v>
      </c>
      <c r="N58" s="4">
        <v>80.05</v>
      </c>
      <c r="O58" s="4">
        <f>ROUND(N58*M58,2)</f>
        <v>91.03</v>
      </c>
    </row>
    <row r="59" spans="2:16" x14ac:dyDescent="0.25">
      <c r="B59" s="13"/>
      <c r="C59" s="13"/>
      <c r="D59" s="14"/>
      <c r="E59" s="14"/>
      <c r="F59" s="30"/>
      <c r="G59" s="16"/>
      <c r="H59" s="16"/>
    </row>
    <row r="60" spans="2:16" ht="15" customHeight="1" x14ac:dyDescent="0.25">
      <c r="B60" s="23"/>
      <c r="C60" s="24"/>
      <c r="D60" s="24"/>
      <c r="E60" s="24"/>
      <c r="F60" s="32" t="s">
        <v>57</v>
      </c>
      <c r="G60" s="22">
        <f>SUM(G55:G59)</f>
        <v>43236.01</v>
      </c>
      <c r="H60" s="55"/>
    </row>
    <row r="61" spans="2:16" x14ac:dyDescent="0.25">
      <c r="B61" s="13"/>
      <c r="C61" s="13"/>
      <c r="D61" s="14"/>
      <c r="E61" s="14"/>
      <c r="F61" s="30"/>
      <c r="G61" s="16"/>
      <c r="H61" s="16"/>
    </row>
    <row r="62" spans="2:16" x14ac:dyDescent="0.25">
      <c r="B62" s="20">
        <v>11</v>
      </c>
      <c r="C62" s="21" t="s">
        <v>97</v>
      </c>
      <c r="D62" s="14"/>
      <c r="E62" s="14"/>
      <c r="F62" s="30"/>
      <c r="G62" s="15"/>
      <c r="H62" s="15"/>
    </row>
    <row r="63" spans="2:16" x14ac:dyDescent="0.25">
      <c r="B63" s="20">
        <v>1102</v>
      </c>
      <c r="C63" s="21" t="s">
        <v>98</v>
      </c>
      <c r="D63" s="14"/>
      <c r="E63" s="14"/>
      <c r="F63" s="30"/>
      <c r="G63" s="15"/>
      <c r="H63" s="15"/>
    </row>
    <row r="64" spans="2:16" x14ac:dyDescent="0.25">
      <c r="B64" s="12" t="s">
        <v>99</v>
      </c>
      <c r="C64" s="13" t="s">
        <v>100</v>
      </c>
      <c r="D64" s="14" t="s">
        <v>6</v>
      </c>
      <c r="E64" s="14">
        <f>E23</f>
        <v>5.04</v>
      </c>
      <c r="F64" s="30">
        <v>35.06</v>
      </c>
      <c r="G64" s="16">
        <f>ROUND(E64*F64,2)</f>
        <v>176.7</v>
      </c>
      <c r="H64" s="16"/>
      <c r="I64" s="118">
        <f>G64/$G$79</f>
        <v>1.0045976117525298E-3</v>
      </c>
    </row>
    <row r="65" spans="2:9" x14ac:dyDescent="0.25">
      <c r="B65" s="12"/>
      <c r="C65" s="13"/>
      <c r="D65" s="14"/>
      <c r="E65" s="14"/>
      <c r="F65" s="30"/>
      <c r="G65" s="16"/>
      <c r="H65" s="16"/>
    </row>
    <row r="66" spans="2:9" ht="15" customHeight="1" x14ac:dyDescent="0.25">
      <c r="B66" s="23"/>
      <c r="C66" s="24"/>
      <c r="D66" s="24"/>
      <c r="E66" s="24"/>
      <c r="F66" s="32" t="s">
        <v>101</v>
      </c>
      <c r="G66" s="22">
        <f>SUM(G61:G65)</f>
        <v>176.7</v>
      </c>
      <c r="H66" s="55"/>
    </row>
    <row r="67" spans="2:9" x14ac:dyDescent="0.25">
      <c r="B67" s="12"/>
      <c r="C67" s="13"/>
      <c r="D67" s="14"/>
      <c r="E67" s="14"/>
      <c r="F67" s="30"/>
      <c r="G67" s="16"/>
      <c r="H67" s="16"/>
    </row>
    <row r="68" spans="2:9" x14ac:dyDescent="0.25">
      <c r="B68" s="20" t="s">
        <v>37</v>
      </c>
      <c r="C68" s="21" t="s">
        <v>16</v>
      </c>
      <c r="D68" s="14"/>
      <c r="E68" s="14"/>
      <c r="F68" s="30"/>
      <c r="G68" s="15"/>
      <c r="H68" s="15"/>
    </row>
    <row r="69" spans="2:9" x14ac:dyDescent="0.25">
      <c r="B69" s="20" t="s">
        <v>38</v>
      </c>
      <c r="C69" s="21" t="s">
        <v>17</v>
      </c>
      <c r="D69" s="14"/>
      <c r="E69" s="14"/>
      <c r="F69" s="30"/>
      <c r="G69" s="15"/>
      <c r="H69" s="15"/>
    </row>
    <row r="70" spans="2:9" ht="30" x14ac:dyDescent="0.25">
      <c r="B70" s="12" t="s">
        <v>39</v>
      </c>
      <c r="C70" s="13" t="s">
        <v>18</v>
      </c>
      <c r="D70" s="14" t="s">
        <v>6</v>
      </c>
      <c r="E70" s="14">
        <f>E17</f>
        <v>62.25</v>
      </c>
      <c r="F70" s="30">
        <v>11.94</v>
      </c>
      <c r="G70" s="16">
        <f t="shared" ref="G70:G71" si="7">ROUND(E70*F70,2)</f>
        <v>743.27</v>
      </c>
      <c r="H70" s="16"/>
      <c r="I70" s="118">
        <f t="shared" ref="I70:I75" si="8">G70/$G$79</f>
        <v>4.2257343909864334E-3</v>
      </c>
    </row>
    <row r="71" spans="2:9" ht="30" customHeight="1" x14ac:dyDescent="0.25">
      <c r="B71" s="12" t="s">
        <v>102</v>
      </c>
      <c r="C71" s="13" t="s">
        <v>103</v>
      </c>
      <c r="D71" s="14" t="s">
        <v>6</v>
      </c>
      <c r="E71" s="14">
        <f>E17</f>
        <v>62.25</v>
      </c>
      <c r="F71" s="30">
        <v>17.57</v>
      </c>
      <c r="G71" s="16">
        <f t="shared" si="7"/>
        <v>1093.73</v>
      </c>
      <c r="H71" s="16"/>
      <c r="I71" s="118">
        <f t="shared" si="8"/>
        <v>6.2182147476066473E-3</v>
      </c>
    </row>
    <row r="72" spans="2:9" x14ac:dyDescent="0.25">
      <c r="B72" s="12"/>
      <c r="C72" s="13"/>
      <c r="D72" s="14"/>
      <c r="E72" s="14"/>
      <c r="F72" s="30"/>
      <c r="G72" s="16"/>
      <c r="H72" s="16"/>
      <c r="I72" s="118"/>
    </row>
    <row r="73" spans="2:9" x14ac:dyDescent="0.25">
      <c r="B73" s="20" t="s">
        <v>121</v>
      </c>
      <c r="C73" s="21" t="s">
        <v>122</v>
      </c>
      <c r="D73" s="14"/>
      <c r="E73" s="14"/>
      <c r="F73" s="30"/>
      <c r="G73" s="16"/>
      <c r="H73" s="16"/>
      <c r="I73" s="118"/>
    </row>
    <row r="74" spans="2:9" ht="45" x14ac:dyDescent="0.25">
      <c r="B74" s="12" t="s">
        <v>123</v>
      </c>
      <c r="C74" s="13" t="s">
        <v>125</v>
      </c>
      <c r="D74" s="14" t="s">
        <v>6</v>
      </c>
      <c r="E74" s="14">
        <f>ROUND((E43*0.8*2.1*2)+(E44*0.9*2.1*1),2)</f>
        <v>33.39</v>
      </c>
      <c r="F74" s="30">
        <v>17.7</v>
      </c>
      <c r="G74" s="16">
        <f t="shared" ref="G74" si="9">ROUND(E74*F74,2)</f>
        <v>591</v>
      </c>
      <c r="H74" s="16"/>
      <c r="I74" s="118">
        <f t="shared" si="8"/>
        <v>3.3600293635865602E-3</v>
      </c>
    </row>
    <row r="75" spans="2:9" ht="45" x14ac:dyDescent="0.25">
      <c r="B75" s="12" t="s">
        <v>124</v>
      </c>
      <c r="C75" s="13" t="s">
        <v>126</v>
      </c>
      <c r="D75" s="14" t="s">
        <v>6</v>
      </c>
      <c r="E75" s="14">
        <f>ROUND((E43*0.8*2.1*2)+(E44*0.9*2.1*1),2)</f>
        <v>33.39</v>
      </c>
      <c r="F75" s="30">
        <v>21.99</v>
      </c>
      <c r="G75" s="16">
        <f t="shared" ref="G75" si="10">ROUND(E75*F75,2)</f>
        <v>734.25</v>
      </c>
      <c r="H75" s="16"/>
      <c r="I75" s="118">
        <f t="shared" si="8"/>
        <v>4.1744527245574144E-3</v>
      </c>
    </row>
    <row r="76" spans="2:9" x14ac:dyDescent="0.25">
      <c r="B76" s="12"/>
      <c r="C76" s="13"/>
      <c r="D76" s="14"/>
      <c r="E76" s="14"/>
      <c r="F76" s="30"/>
      <c r="G76" s="16"/>
      <c r="H76" s="16"/>
    </row>
    <row r="77" spans="2:9" ht="15" customHeight="1" x14ac:dyDescent="0.25">
      <c r="B77" s="23"/>
      <c r="C77" s="24"/>
      <c r="D77" s="24"/>
      <c r="E77" s="24"/>
      <c r="F77" s="32" t="s">
        <v>58</v>
      </c>
      <c r="G77" s="22">
        <f>SUM(G67:G76)</f>
        <v>3162.25</v>
      </c>
      <c r="H77" s="55"/>
    </row>
    <row r="78" spans="2:9" x14ac:dyDescent="0.25">
      <c r="B78" s="12"/>
      <c r="C78" s="13"/>
      <c r="D78" s="14"/>
      <c r="E78" s="14"/>
      <c r="F78" s="30"/>
      <c r="G78" s="16"/>
      <c r="H78" s="16"/>
    </row>
    <row r="79" spans="2:9" ht="18.75" x14ac:dyDescent="0.25">
      <c r="B79" s="150" t="s">
        <v>157</v>
      </c>
      <c r="C79" s="150"/>
      <c r="D79" s="150"/>
      <c r="E79" s="150"/>
      <c r="F79" s="150"/>
      <c r="G79" s="18">
        <f>SUM(G27,G33,G39,G46,G54,G60,G66,G77)</f>
        <v>175891.32</v>
      </c>
      <c r="H79" s="104"/>
    </row>
  </sheetData>
  <mergeCells count="3">
    <mergeCell ref="B79:F79"/>
    <mergeCell ref="B6:G6"/>
    <mergeCell ref="B5:G5"/>
  </mergeCells>
  <printOptions horizontalCentered="1"/>
  <pageMargins left="0.98425196850393704" right="0.59055118110236227" top="0.59055118110236227" bottom="0.59055118110236227" header="0.31496062992125984" footer="0.31496062992125984"/>
  <pageSetup paperSize="9" scale="65" fitToHeight="0" orientation="portrait" r:id="rId1"/>
  <headerFooter>
    <oddFooter>&amp;L&amp;F&amp;RPágina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zoomScaleNormal="100" zoomScaleSheetLayoutView="75" workbookViewId="0">
      <pane ySplit="11" topLeftCell="A12" activePane="bottomLeft" state="frozen"/>
      <selection pane="bottomLeft" activeCell="B6" sqref="B6:F6"/>
    </sheetView>
  </sheetViews>
  <sheetFormatPr defaultRowHeight="15" x14ac:dyDescent="0.25"/>
  <cols>
    <col min="1" max="1" width="9.140625" style="117"/>
    <col min="2" max="2" width="10.7109375" style="7" customWidth="1"/>
    <col min="3" max="3" width="60.7109375" style="117" customWidth="1"/>
    <col min="4" max="4" width="10.7109375" style="117" customWidth="1"/>
    <col min="5" max="5" width="12.7109375" style="117" customWidth="1"/>
    <col min="6" max="6" width="40.7109375" style="147" customWidth="1"/>
    <col min="7" max="7" width="8.7109375" style="117" customWidth="1"/>
    <col min="8" max="16384" width="9.140625" style="117"/>
  </cols>
  <sheetData>
    <row r="1" spans="2:7" ht="15" customHeight="1" x14ac:dyDescent="0.25">
      <c r="B1" s="3"/>
      <c r="C1" s="3"/>
      <c r="D1" s="3"/>
      <c r="E1" s="3"/>
      <c r="F1" s="137"/>
    </row>
    <row r="2" spans="2:7" ht="15" customHeight="1" x14ac:dyDescent="0.25">
      <c r="B2" s="3"/>
      <c r="C2" s="116"/>
      <c r="D2" s="116"/>
      <c r="E2" s="116"/>
      <c r="F2" s="138"/>
    </row>
    <row r="3" spans="2:7" ht="15" customHeight="1" x14ac:dyDescent="0.25">
      <c r="B3" s="3"/>
      <c r="C3" s="116"/>
      <c r="D3" s="116"/>
      <c r="E3" s="116"/>
      <c r="F3" s="138"/>
    </row>
    <row r="4" spans="2:7" ht="15" customHeight="1" x14ac:dyDescent="0.25">
      <c r="B4" s="3"/>
      <c r="C4" s="116"/>
      <c r="D4" s="116"/>
      <c r="E4" s="116"/>
      <c r="F4" s="138"/>
    </row>
    <row r="5" spans="2:7" ht="15" customHeight="1" x14ac:dyDescent="0.25">
      <c r="B5" s="152" t="s">
        <v>66</v>
      </c>
      <c r="C5" s="152"/>
      <c r="D5" s="152"/>
      <c r="E5" s="152"/>
      <c r="F5" s="152"/>
      <c r="G5" s="115"/>
    </row>
    <row r="6" spans="2:7" ht="26.25" x14ac:dyDescent="0.25">
      <c r="B6" s="151" t="s">
        <v>158</v>
      </c>
      <c r="C6" s="151"/>
      <c r="D6" s="151"/>
      <c r="E6" s="151"/>
      <c r="F6" s="151"/>
      <c r="G6" s="114"/>
    </row>
    <row r="7" spans="2:7" ht="5.0999999999999996" customHeight="1" x14ac:dyDescent="0.25">
      <c r="B7" s="6"/>
      <c r="C7" s="8"/>
      <c r="D7" s="8"/>
      <c r="E7" s="8"/>
      <c r="F7" s="139"/>
      <c r="G7" s="8"/>
    </row>
    <row r="8" spans="2:7" ht="15" customHeight="1" x14ac:dyDescent="0.25">
      <c r="B8" s="3" t="str">
        <f>ORCAMENTO!B8</f>
        <v>Objeto: OBRA DE RECUPERAÇÃO DE PARTES DA EDIFICAÇÃO DO ESCRITÓRIO CENTRAL DO IDAF</v>
      </c>
      <c r="C8" s="116"/>
      <c r="D8" s="116"/>
      <c r="E8" s="116"/>
      <c r="F8" s="138"/>
    </row>
    <row r="9" spans="2:7" x14ac:dyDescent="0.25">
      <c r="B9" s="9" t="s">
        <v>159</v>
      </c>
      <c r="C9" s="116"/>
      <c r="D9" s="116"/>
      <c r="E9" s="116"/>
      <c r="F9" s="138"/>
    </row>
    <row r="10" spans="2:7" ht="9.9499999999999993" customHeight="1" x14ac:dyDescent="0.25">
      <c r="B10" s="10"/>
      <c r="C10" s="11"/>
      <c r="D10" s="11"/>
      <c r="E10" s="11"/>
      <c r="F10" s="140"/>
    </row>
    <row r="11" spans="2:7" s="4" customFormat="1" ht="15.75" thickBot="1" x14ac:dyDescent="0.3">
      <c r="B11" s="136" t="s">
        <v>0</v>
      </c>
      <c r="C11" s="136" t="s">
        <v>1</v>
      </c>
      <c r="D11" s="136" t="s">
        <v>2</v>
      </c>
      <c r="E11" s="136" t="s">
        <v>19</v>
      </c>
      <c r="F11" s="141" t="s">
        <v>160</v>
      </c>
      <c r="G11" s="103"/>
    </row>
    <row r="12" spans="2:7" ht="15.75" thickTop="1" x14ac:dyDescent="0.25">
      <c r="B12" s="133" t="s">
        <v>28</v>
      </c>
      <c r="C12" s="134" t="s">
        <v>4</v>
      </c>
      <c r="D12" s="135"/>
      <c r="E12" s="135"/>
      <c r="F12" s="142"/>
      <c r="G12" s="15"/>
    </row>
    <row r="13" spans="2:7" x14ac:dyDescent="0.25">
      <c r="B13" s="120" t="s">
        <v>29</v>
      </c>
      <c r="C13" s="121" t="s">
        <v>5</v>
      </c>
      <c r="D13" s="122"/>
      <c r="E13" s="122"/>
      <c r="F13" s="143"/>
      <c r="G13" s="15"/>
    </row>
    <row r="14" spans="2:7" ht="45" x14ac:dyDescent="0.25">
      <c r="B14" s="123" t="s">
        <v>104</v>
      </c>
      <c r="C14" s="124" t="s">
        <v>105</v>
      </c>
      <c r="D14" s="122" t="s">
        <v>9</v>
      </c>
      <c r="E14" s="122">
        <f>ROUND(E35+E36,2)</f>
        <v>13</v>
      </c>
      <c r="F14" s="143" t="s">
        <v>169</v>
      </c>
      <c r="G14" s="16"/>
    </row>
    <row r="15" spans="2:7" ht="105" x14ac:dyDescent="0.25">
      <c r="B15" s="123" t="s">
        <v>30</v>
      </c>
      <c r="C15" s="124" t="s">
        <v>10</v>
      </c>
      <c r="D15" s="122" t="s">
        <v>6</v>
      </c>
      <c r="E15" s="122">
        <f>ROUND((7*1.2*1.2)+(3*4.8)+(1.8*3)+(1.2*1.8)+(3*4.6)+(2.7*4.8)+(1.5*2.3),2)</f>
        <v>62.25</v>
      </c>
      <c r="F15" s="143" t="s">
        <v>161</v>
      </c>
      <c r="G15" s="16"/>
    </row>
    <row r="16" spans="2:7" ht="30" x14ac:dyDescent="0.25">
      <c r="B16" s="123" t="s">
        <v>31</v>
      </c>
      <c r="C16" s="124" t="s">
        <v>11</v>
      </c>
      <c r="D16" s="122" t="s">
        <v>6</v>
      </c>
      <c r="E16" s="122">
        <f>E15</f>
        <v>62.25</v>
      </c>
      <c r="F16" s="143" t="s">
        <v>162</v>
      </c>
      <c r="G16" s="16"/>
    </row>
    <row r="17" spans="1:7" x14ac:dyDescent="0.25">
      <c r="B17" s="123" t="s">
        <v>45</v>
      </c>
      <c r="C17" s="124" t="s">
        <v>21</v>
      </c>
      <c r="D17" s="122" t="s">
        <v>6</v>
      </c>
      <c r="E17" s="122">
        <f>ROUND((20.9*10.43),2)</f>
        <v>217.99</v>
      </c>
      <c r="F17" s="143" t="s">
        <v>163</v>
      </c>
      <c r="G17" s="16"/>
    </row>
    <row r="18" spans="1:7" ht="30" x14ac:dyDescent="0.25">
      <c r="B18" s="123" t="s">
        <v>108</v>
      </c>
      <c r="C18" s="124" t="s">
        <v>143</v>
      </c>
      <c r="D18" s="122" t="s">
        <v>6</v>
      </c>
      <c r="E18" s="122">
        <f>ROUND((6.65*23.5)+(10.4*15.17),2)</f>
        <v>314.04000000000002</v>
      </c>
      <c r="F18" s="143" t="s">
        <v>164</v>
      </c>
      <c r="G18" s="16"/>
    </row>
    <row r="19" spans="1:7" x14ac:dyDescent="0.25">
      <c r="B19" s="123"/>
      <c r="C19" s="124"/>
      <c r="D19" s="122"/>
      <c r="E19" s="122"/>
      <c r="F19" s="143"/>
      <c r="G19" s="16"/>
    </row>
    <row r="20" spans="1:7" x14ac:dyDescent="0.25">
      <c r="B20" s="120" t="s">
        <v>32</v>
      </c>
      <c r="C20" s="121" t="s">
        <v>5</v>
      </c>
      <c r="D20" s="122"/>
      <c r="E20" s="122"/>
      <c r="F20" s="143"/>
      <c r="G20" s="15"/>
    </row>
    <row r="21" spans="1:7" x14ac:dyDescent="0.25">
      <c r="B21" s="123" t="s">
        <v>106</v>
      </c>
      <c r="C21" s="124" t="s">
        <v>110</v>
      </c>
      <c r="D21" s="122" t="s">
        <v>6</v>
      </c>
      <c r="E21" s="122">
        <f>ROUND(0.6*0.6*(2+1+2+2+4+1+1+1),2)</f>
        <v>5.04</v>
      </c>
      <c r="F21" s="143" t="s">
        <v>165</v>
      </c>
      <c r="G21" s="16"/>
    </row>
    <row r="22" spans="1:7" ht="45" x14ac:dyDescent="0.25">
      <c r="B22" s="123" t="s">
        <v>93</v>
      </c>
      <c r="C22" s="124" t="s">
        <v>94</v>
      </c>
      <c r="D22" s="122" t="s">
        <v>6</v>
      </c>
      <c r="E22" s="122">
        <f>ROUND(((((5.45*14.3)+(9.95*25.5))*2)+(15.1*25.1)+(2.55*22)+(4.05*22)+(13.66*25.1))*15%,2)</f>
        <v>229.56</v>
      </c>
      <c r="F22" s="143" t="s">
        <v>167</v>
      </c>
      <c r="G22" s="16"/>
    </row>
    <row r="23" spans="1:7" ht="60" x14ac:dyDescent="0.25">
      <c r="B23" s="123" t="s">
        <v>111</v>
      </c>
      <c r="C23" s="124" t="s">
        <v>46</v>
      </c>
      <c r="D23" s="122" t="s">
        <v>6</v>
      </c>
      <c r="E23" s="125">
        <f>ROUND(((15.8+15.8+25.5+10.43+40.4/2+3.1+16.5+22)*2*0.7)+((0.53+0.5+0.53)*(25.5+25.5+20.9))+((0.3+0.3+0.6)*22*2)+(3.1*1.4)+(8.91*1.4*2/2),2)</f>
        <v>362.84</v>
      </c>
      <c r="F23" s="144" t="s">
        <v>166</v>
      </c>
      <c r="G23" s="16"/>
    </row>
    <row r="24" spans="1:7" x14ac:dyDescent="0.25">
      <c r="B24" s="123"/>
      <c r="C24" s="124"/>
      <c r="D24" s="122"/>
      <c r="E24" s="125"/>
      <c r="F24" s="144"/>
      <c r="G24" s="16"/>
    </row>
    <row r="25" spans="1:7" x14ac:dyDescent="0.25">
      <c r="A25" s="7"/>
      <c r="B25" s="120" t="s">
        <v>40</v>
      </c>
      <c r="C25" s="121" t="s">
        <v>22</v>
      </c>
      <c r="D25" s="122"/>
      <c r="E25" s="122"/>
      <c r="F25" s="143"/>
      <c r="G25" s="16"/>
    </row>
    <row r="26" spans="1:7" x14ac:dyDescent="0.25">
      <c r="B26" s="120" t="s">
        <v>41</v>
      </c>
      <c r="C26" s="121" t="s">
        <v>23</v>
      </c>
      <c r="D26" s="122"/>
      <c r="E26" s="122"/>
      <c r="F26" s="143"/>
      <c r="G26" s="16"/>
    </row>
    <row r="27" spans="1:7" ht="30" x14ac:dyDescent="0.25">
      <c r="B27" s="123" t="s">
        <v>42</v>
      </c>
      <c r="C27" s="124" t="s">
        <v>24</v>
      </c>
      <c r="D27" s="122" t="s">
        <v>8</v>
      </c>
      <c r="E27" s="122">
        <f>4*9*3</f>
        <v>108</v>
      </c>
      <c r="F27" s="143" t="s">
        <v>152</v>
      </c>
      <c r="G27" s="16"/>
    </row>
    <row r="28" spans="1:7" ht="15" customHeight="1" x14ac:dyDescent="0.25">
      <c r="B28" s="123"/>
      <c r="C28" s="124"/>
      <c r="D28" s="122"/>
      <c r="E28" s="122"/>
      <c r="F28" s="143"/>
      <c r="G28" s="16"/>
    </row>
    <row r="29" spans="1:7" x14ac:dyDescent="0.25">
      <c r="B29" s="120" t="s">
        <v>33</v>
      </c>
      <c r="C29" s="121" t="s">
        <v>12</v>
      </c>
      <c r="D29" s="122"/>
      <c r="E29" s="122"/>
      <c r="F29" s="143"/>
      <c r="G29" s="15"/>
    </row>
    <row r="30" spans="1:7" x14ac:dyDescent="0.25">
      <c r="B30" s="120" t="s">
        <v>34</v>
      </c>
      <c r="C30" s="121" t="s">
        <v>13</v>
      </c>
      <c r="D30" s="122"/>
      <c r="E30" s="122"/>
      <c r="F30" s="143"/>
      <c r="G30" s="15"/>
    </row>
    <row r="31" spans="1:7" ht="60" x14ac:dyDescent="0.25">
      <c r="B31" s="123" t="s">
        <v>35</v>
      </c>
      <c r="C31" s="124" t="s">
        <v>14</v>
      </c>
      <c r="D31" s="122" t="s">
        <v>7</v>
      </c>
      <c r="E31" s="122">
        <f>ROUND((E17*0.01+E18*0.01+E21*0.01+E22*0.01+E23*0.01)*150%,2)</f>
        <v>16.940000000000001</v>
      </c>
      <c r="F31" s="143" t="s">
        <v>168</v>
      </c>
      <c r="G31" s="16"/>
    </row>
    <row r="32" spans="1:7" x14ac:dyDescent="0.25">
      <c r="B32" s="123"/>
      <c r="C32" s="124"/>
      <c r="D32" s="122"/>
      <c r="E32" s="122"/>
      <c r="F32" s="143"/>
      <c r="G32" s="16"/>
    </row>
    <row r="33" spans="1:8" x14ac:dyDescent="0.25">
      <c r="B33" s="120" t="s">
        <v>36</v>
      </c>
      <c r="C33" s="121" t="s">
        <v>15</v>
      </c>
      <c r="D33" s="122"/>
      <c r="E33" s="122"/>
      <c r="F33" s="143"/>
      <c r="G33" s="15"/>
    </row>
    <row r="34" spans="1:8" ht="60" x14ac:dyDescent="0.25">
      <c r="A34" s="7"/>
      <c r="B34" s="126" t="s">
        <v>113</v>
      </c>
      <c r="C34" s="127" t="s">
        <v>112</v>
      </c>
      <c r="D34" s="122"/>
      <c r="E34" s="122"/>
      <c r="F34" s="143"/>
      <c r="G34" s="15"/>
    </row>
    <row r="35" spans="1:8" ht="60" x14ac:dyDescent="0.25">
      <c r="A35" s="7"/>
      <c r="B35" s="128" t="s">
        <v>115</v>
      </c>
      <c r="C35" s="129" t="s">
        <v>114</v>
      </c>
      <c r="D35" s="122" t="s">
        <v>9</v>
      </c>
      <c r="E35" s="122">
        <v>6</v>
      </c>
      <c r="F35" s="143" t="s">
        <v>170</v>
      </c>
      <c r="G35" s="16"/>
    </row>
    <row r="36" spans="1:8" ht="75" x14ac:dyDescent="0.25">
      <c r="B36" s="128" t="s">
        <v>117</v>
      </c>
      <c r="C36" s="129" t="s">
        <v>116</v>
      </c>
      <c r="D36" s="122" t="s">
        <v>9</v>
      </c>
      <c r="E36" s="122">
        <v>7</v>
      </c>
      <c r="F36" s="143" t="s">
        <v>171</v>
      </c>
      <c r="G36" s="16"/>
    </row>
    <row r="37" spans="1:8" x14ac:dyDescent="0.25">
      <c r="B37" s="123"/>
      <c r="C37" s="124"/>
      <c r="D37" s="122"/>
      <c r="E37" s="122"/>
      <c r="F37" s="143"/>
      <c r="G37" s="16"/>
    </row>
    <row r="38" spans="1:8" x14ac:dyDescent="0.25">
      <c r="B38" s="120" t="s">
        <v>50</v>
      </c>
      <c r="C38" s="121" t="s">
        <v>25</v>
      </c>
      <c r="D38" s="122"/>
      <c r="E38" s="122"/>
      <c r="F38" s="143"/>
      <c r="G38" s="16"/>
    </row>
    <row r="39" spans="1:8" x14ac:dyDescent="0.25">
      <c r="B39" s="120" t="s">
        <v>127</v>
      </c>
      <c r="C39" s="121" t="s">
        <v>128</v>
      </c>
      <c r="D39" s="122"/>
      <c r="E39" s="122"/>
      <c r="F39" s="143"/>
      <c r="G39" s="16"/>
    </row>
    <row r="40" spans="1:8" ht="30" x14ac:dyDescent="0.25">
      <c r="B40" s="123" t="s">
        <v>118</v>
      </c>
      <c r="C40" s="124" t="s">
        <v>107</v>
      </c>
      <c r="D40" s="122" t="s">
        <v>6</v>
      </c>
      <c r="E40" s="122">
        <f>E17</f>
        <v>217.99</v>
      </c>
      <c r="F40" s="143" t="s">
        <v>172</v>
      </c>
      <c r="G40" s="16"/>
      <c r="H40" s="42"/>
    </row>
    <row r="41" spans="1:8" x14ac:dyDescent="0.25">
      <c r="B41" s="123" t="s">
        <v>141</v>
      </c>
      <c r="C41" s="124" t="s">
        <v>142</v>
      </c>
      <c r="D41" s="122" t="s">
        <v>6</v>
      </c>
      <c r="E41" s="122">
        <f>E18</f>
        <v>314.04000000000002</v>
      </c>
      <c r="F41" s="143" t="s">
        <v>173</v>
      </c>
      <c r="G41" s="16"/>
      <c r="H41" s="43"/>
    </row>
    <row r="42" spans="1:8" ht="30" x14ac:dyDescent="0.25">
      <c r="B42" s="123" t="s">
        <v>119</v>
      </c>
      <c r="C42" s="124" t="s">
        <v>96</v>
      </c>
      <c r="D42" s="122" t="s">
        <v>6</v>
      </c>
      <c r="E42" s="122">
        <f>E22</f>
        <v>229.56</v>
      </c>
      <c r="F42" s="143" t="s">
        <v>174</v>
      </c>
      <c r="G42" s="16"/>
      <c r="H42" s="4"/>
    </row>
    <row r="43" spans="1:8" ht="15" customHeight="1" x14ac:dyDescent="0.25">
      <c r="B43" s="123"/>
      <c r="C43" s="124"/>
      <c r="D43" s="122"/>
      <c r="E43" s="122"/>
      <c r="F43" s="143"/>
      <c r="G43" s="16"/>
    </row>
    <row r="44" spans="1:8" x14ac:dyDescent="0.25">
      <c r="B44" s="120" t="s">
        <v>47</v>
      </c>
      <c r="C44" s="121" t="s">
        <v>26</v>
      </c>
      <c r="D44" s="122"/>
      <c r="E44" s="122"/>
      <c r="F44" s="143"/>
      <c r="G44" s="16"/>
    </row>
    <row r="45" spans="1:8" ht="30" x14ac:dyDescent="0.25">
      <c r="B45" s="120" t="s">
        <v>48</v>
      </c>
      <c r="C45" s="121" t="s">
        <v>27</v>
      </c>
      <c r="D45" s="122"/>
      <c r="E45" s="122"/>
      <c r="F45" s="143"/>
      <c r="G45" s="16"/>
    </row>
    <row r="46" spans="1:8" ht="45" x14ac:dyDescent="0.25">
      <c r="B46" s="124" t="s">
        <v>120</v>
      </c>
      <c r="C46" s="124" t="s">
        <v>49</v>
      </c>
      <c r="D46" s="122" t="s">
        <v>6</v>
      </c>
      <c r="E46" s="125">
        <f>E23</f>
        <v>362.84</v>
      </c>
      <c r="F46" s="143" t="s">
        <v>175</v>
      </c>
      <c r="G46" s="16"/>
    </row>
    <row r="47" spans="1:8" x14ac:dyDescent="0.25">
      <c r="B47" s="124"/>
      <c r="C47" s="124"/>
      <c r="D47" s="122"/>
      <c r="E47" s="122"/>
      <c r="F47" s="143"/>
      <c r="G47" s="16"/>
    </row>
    <row r="48" spans="1:8" x14ac:dyDescent="0.25">
      <c r="B48" s="120">
        <v>11</v>
      </c>
      <c r="C48" s="121" t="s">
        <v>97</v>
      </c>
      <c r="D48" s="122"/>
      <c r="E48" s="122"/>
      <c r="F48" s="143"/>
      <c r="G48" s="15"/>
    </row>
    <row r="49" spans="2:7" x14ac:dyDescent="0.25">
      <c r="B49" s="120">
        <v>1102</v>
      </c>
      <c r="C49" s="121" t="s">
        <v>98</v>
      </c>
      <c r="D49" s="122"/>
      <c r="E49" s="122"/>
      <c r="F49" s="143"/>
      <c r="G49" s="15"/>
    </row>
    <row r="50" spans="2:7" x14ac:dyDescent="0.25">
      <c r="B50" s="123" t="s">
        <v>99</v>
      </c>
      <c r="C50" s="124" t="s">
        <v>100</v>
      </c>
      <c r="D50" s="122" t="s">
        <v>6</v>
      </c>
      <c r="E50" s="122">
        <f>E21</f>
        <v>5.04</v>
      </c>
      <c r="F50" s="143" t="s">
        <v>176</v>
      </c>
      <c r="G50" s="16"/>
    </row>
    <row r="51" spans="2:7" x14ac:dyDescent="0.25">
      <c r="B51" s="123"/>
      <c r="C51" s="124"/>
      <c r="D51" s="122"/>
      <c r="E51" s="122"/>
      <c r="F51" s="143"/>
      <c r="G51" s="16"/>
    </row>
    <row r="52" spans="2:7" x14ac:dyDescent="0.25">
      <c r="B52" s="120" t="s">
        <v>37</v>
      </c>
      <c r="C52" s="121" t="s">
        <v>16</v>
      </c>
      <c r="D52" s="122"/>
      <c r="E52" s="122"/>
      <c r="F52" s="143"/>
      <c r="G52" s="15"/>
    </row>
    <row r="53" spans="2:7" x14ac:dyDescent="0.25">
      <c r="B53" s="120" t="s">
        <v>38</v>
      </c>
      <c r="C53" s="121" t="s">
        <v>17</v>
      </c>
      <c r="D53" s="122"/>
      <c r="E53" s="122"/>
      <c r="F53" s="143"/>
      <c r="G53" s="15"/>
    </row>
    <row r="54" spans="2:7" ht="30" x14ac:dyDescent="0.25">
      <c r="B54" s="123" t="s">
        <v>39</v>
      </c>
      <c r="C54" s="124" t="s">
        <v>18</v>
      </c>
      <c r="D54" s="122" t="s">
        <v>6</v>
      </c>
      <c r="E54" s="122">
        <f>E15</f>
        <v>62.25</v>
      </c>
      <c r="F54" s="143" t="s">
        <v>177</v>
      </c>
      <c r="G54" s="16"/>
    </row>
    <row r="55" spans="2:7" ht="30" customHeight="1" x14ac:dyDescent="0.25">
      <c r="B55" s="123" t="s">
        <v>102</v>
      </c>
      <c r="C55" s="124" t="s">
        <v>103</v>
      </c>
      <c r="D55" s="122" t="s">
        <v>6</v>
      </c>
      <c r="E55" s="122">
        <f>E15</f>
        <v>62.25</v>
      </c>
      <c r="F55" s="143" t="s">
        <v>177</v>
      </c>
      <c r="G55" s="16"/>
    </row>
    <row r="56" spans="2:7" x14ac:dyDescent="0.25">
      <c r="B56" s="123"/>
      <c r="C56" s="124"/>
      <c r="D56" s="122"/>
      <c r="E56" s="122"/>
      <c r="F56" s="143"/>
      <c r="G56" s="16"/>
    </row>
    <row r="57" spans="2:7" x14ac:dyDescent="0.25">
      <c r="B57" s="120" t="s">
        <v>121</v>
      </c>
      <c r="C57" s="121" t="s">
        <v>122</v>
      </c>
      <c r="D57" s="122"/>
      <c r="E57" s="122"/>
      <c r="F57" s="143"/>
      <c r="G57" s="16"/>
    </row>
    <row r="58" spans="2:7" ht="45" x14ac:dyDescent="0.25">
      <c r="B58" s="123" t="s">
        <v>123</v>
      </c>
      <c r="C58" s="124" t="s">
        <v>125</v>
      </c>
      <c r="D58" s="122" t="s">
        <v>6</v>
      </c>
      <c r="E58" s="122">
        <f>ROUND((E35*0.8*2.1*2)+(E36*0.9*2.1*1),2)</f>
        <v>33.39</v>
      </c>
      <c r="F58" s="143" t="s">
        <v>178</v>
      </c>
      <c r="G58" s="16"/>
    </row>
    <row r="59" spans="2:7" ht="45" x14ac:dyDescent="0.25">
      <c r="B59" s="130" t="s">
        <v>124</v>
      </c>
      <c r="C59" s="131" t="s">
        <v>126</v>
      </c>
      <c r="D59" s="132" t="s">
        <v>6</v>
      </c>
      <c r="E59" s="132">
        <f>ROUND((E35*0.8*2.1*2)+(E36*0.9*2.1*1),2)</f>
        <v>33.39</v>
      </c>
      <c r="F59" s="145" t="s">
        <v>178</v>
      </c>
      <c r="G59" s="16"/>
    </row>
    <row r="60" spans="2:7" x14ac:dyDescent="0.25">
      <c r="B60" s="12"/>
      <c r="C60" s="13"/>
      <c r="D60" s="14"/>
      <c r="E60" s="14"/>
      <c r="F60" s="146"/>
      <c r="G60" s="16"/>
    </row>
  </sheetData>
  <mergeCells count="2">
    <mergeCell ref="B5:F5"/>
    <mergeCell ref="B6:F6"/>
  </mergeCells>
  <printOptions horizontalCentered="1"/>
  <pageMargins left="0.98425196850393704" right="0.59055118110236227" top="0.59055118110236227" bottom="0.59055118110236227" header="0.31496062992125984" footer="0.31496062992125984"/>
  <pageSetup paperSize="9" scale="62" fitToHeight="0" orientation="portrait" r:id="rId1"/>
  <headerFooter>
    <oddFooter>&amp;L&amp;A&amp;RPágina &amp;P de &amp;N</oddFooter>
  </headerFooter>
  <rowBreaks count="1" manualBreakCount="1">
    <brk id="47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showGridLines="0" zoomScaleNormal="100" workbookViewId="0">
      <pane ySplit="14" topLeftCell="A15" activePane="bottomLeft" state="frozen"/>
      <selection pane="bottomLeft" activeCell="B6" sqref="B6:M6"/>
    </sheetView>
  </sheetViews>
  <sheetFormatPr defaultRowHeight="15" x14ac:dyDescent="0.25"/>
  <cols>
    <col min="1" max="1" width="9.140625" style="1"/>
    <col min="2" max="2" width="12.7109375" style="7" customWidth="1"/>
    <col min="3" max="3" width="60.7109375" style="1" customWidth="1"/>
    <col min="4" max="5" width="12.7109375" style="1" customWidth="1"/>
    <col min="6" max="6" width="14.7109375" style="1" customWidth="1"/>
    <col min="7" max="7" width="16" style="1" bestFit="1" customWidth="1"/>
    <col min="8" max="8" width="10.7109375" style="1" customWidth="1"/>
    <col min="9" max="9" width="14.7109375" style="1" customWidth="1"/>
    <col min="10" max="10" width="10.7109375" style="1" customWidth="1"/>
    <col min="11" max="11" width="14.7109375" style="1" customWidth="1"/>
    <col min="12" max="12" width="10.7109375" style="1" customWidth="1"/>
    <col min="13" max="13" width="14.7109375" style="1" customWidth="1"/>
    <col min="14" max="14" width="16" style="1" customWidth="1"/>
    <col min="15" max="16" width="8.7109375" style="44" customWidth="1"/>
    <col min="17" max="17" width="16" style="1" customWidth="1"/>
    <col min="18" max="18" width="9.140625" style="1"/>
    <col min="19" max="19" width="9.140625" style="4"/>
    <col min="20" max="16384" width="9.140625" style="1"/>
  </cols>
  <sheetData>
    <row r="1" spans="2:20" ht="15" customHeight="1" x14ac:dyDescent="0.25">
      <c r="B1" s="3"/>
      <c r="C1" s="3"/>
      <c r="D1" s="3"/>
      <c r="E1" s="3"/>
      <c r="F1" s="3"/>
    </row>
    <row r="2" spans="2:20" ht="15" customHeight="1" x14ac:dyDescent="0.25">
      <c r="B2" s="3"/>
      <c r="C2" s="2"/>
      <c r="D2" s="2"/>
      <c r="E2" s="2"/>
      <c r="F2" s="2"/>
    </row>
    <row r="3" spans="2:20" ht="15" customHeight="1" x14ac:dyDescent="0.25">
      <c r="B3" s="3"/>
      <c r="C3" s="2"/>
      <c r="D3" s="2"/>
      <c r="E3" s="2"/>
      <c r="F3" s="2"/>
    </row>
    <row r="4" spans="2:20" ht="15" customHeight="1" x14ac:dyDescent="0.25">
      <c r="B4" s="3"/>
      <c r="C4" s="2"/>
      <c r="D4" s="2"/>
      <c r="E4" s="2"/>
      <c r="F4" s="2"/>
    </row>
    <row r="5" spans="2:20" ht="15" customHeight="1" x14ac:dyDescent="0.25">
      <c r="B5" s="152" t="s">
        <v>67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35"/>
      <c r="O5" s="37"/>
      <c r="P5" s="37"/>
      <c r="Q5" s="35"/>
    </row>
    <row r="6" spans="2:20" ht="26.25" x14ac:dyDescent="0.25">
      <c r="B6" s="151" t="s">
        <v>59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34"/>
      <c r="O6" s="36"/>
      <c r="P6" s="36"/>
      <c r="Q6" s="34"/>
    </row>
    <row r="7" spans="2:20" ht="5.0999999999999996" customHeight="1" x14ac:dyDescent="0.25"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20" ht="15" customHeight="1" x14ac:dyDescent="0.25">
      <c r="B8" s="3" t="str">
        <f>ORCAMENTO!B8</f>
        <v>Objeto: OBRA DE RECUPERAÇÃO DE PARTES DA EDIFICAÇÃO DO ESCRITÓRIO CENTRAL DO IDAF</v>
      </c>
      <c r="C8" s="2"/>
      <c r="D8" s="2"/>
      <c r="E8" s="2"/>
      <c r="F8" s="2"/>
    </row>
    <row r="9" spans="2:20" x14ac:dyDescent="0.25">
      <c r="B9" s="3" t="str">
        <f>ORCAMENTO!B9</f>
        <v>Leis Sociais: 128,33%</v>
      </c>
    </row>
    <row r="10" spans="2:20" x14ac:dyDescent="0.25">
      <c r="B10" s="3" t="str">
        <f>ORCAMENTO!B10</f>
        <v>BDI: 30,9%</v>
      </c>
      <c r="C10" s="2"/>
      <c r="D10" s="2"/>
      <c r="E10" s="2"/>
      <c r="F10" s="2"/>
    </row>
    <row r="11" spans="2:20" x14ac:dyDescent="0.25">
      <c r="B11" s="3" t="str">
        <f>ORCAMENTO!B11</f>
        <v>TABELA DE CUSTOS REFERENCIAIS LABOR/CT - UFES PADRÃO IOPES - AGOSTO/2018</v>
      </c>
      <c r="C11" s="2"/>
      <c r="D11" s="2"/>
      <c r="E11" s="2"/>
      <c r="F11" s="2"/>
    </row>
    <row r="12" spans="2:20" ht="9.9499999999999993" customHeight="1" x14ac:dyDescent="0.25">
      <c r="B12" s="10"/>
      <c r="C12" s="11"/>
      <c r="D12" s="11"/>
      <c r="E12" s="11"/>
      <c r="F12" s="11"/>
    </row>
    <row r="13" spans="2:20" s="4" customFormat="1" x14ac:dyDescent="0.25">
      <c r="B13" s="156" t="s">
        <v>0</v>
      </c>
      <c r="C13" s="158" t="s">
        <v>151</v>
      </c>
      <c r="D13" s="158" t="s">
        <v>2</v>
      </c>
      <c r="E13" s="158" t="s">
        <v>19</v>
      </c>
      <c r="F13" s="160" t="s">
        <v>3</v>
      </c>
      <c r="G13" s="162" t="s">
        <v>20</v>
      </c>
      <c r="H13" s="155" t="s">
        <v>61</v>
      </c>
      <c r="I13" s="155"/>
      <c r="J13" s="155" t="s">
        <v>62</v>
      </c>
      <c r="K13" s="155"/>
      <c r="L13" s="155" t="s">
        <v>63</v>
      </c>
      <c r="M13" s="155"/>
    </row>
    <row r="14" spans="2:20" s="4" customFormat="1" ht="15.75" thickBot="1" x14ac:dyDescent="0.3">
      <c r="B14" s="157"/>
      <c r="C14" s="159"/>
      <c r="D14" s="159"/>
      <c r="E14" s="159"/>
      <c r="F14" s="161"/>
      <c r="G14" s="163"/>
      <c r="H14" s="92" t="s">
        <v>154</v>
      </c>
      <c r="I14" s="93" t="s">
        <v>20</v>
      </c>
      <c r="J14" s="92" t="s">
        <v>154</v>
      </c>
      <c r="K14" s="93" t="s">
        <v>20</v>
      </c>
      <c r="L14" s="92" t="s">
        <v>154</v>
      </c>
      <c r="M14" s="93" t="s">
        <v>20</v>
      </c>
      <c r="N14" s="153" t="s">
        <v>155</v>
      </c>
      <c r="O14" s="154"/>
      <c r="P14" s="103"/>
      <c r="Q14" s="103" t="s">
        <v>153</v>
      </c>
      <c r="S14" s="54" t="s">
        <v>146</v>
      </c>
      <c r="T14" s="54" t="s">
        <v>147</v>
      </c>
    </row>
    <row r="15" spans="2:20" ht="15.75" thickTop="1" x14ac:dyDescent="0.25">
      <c r="B15" s="61" t="str">
        <f>ORCAMENTO!B14</f>
        <v>01</v>
      </c>
      <c r="C15" s="62" t="str">
        <f>ORCAMENTO!C14</f>
        <v>SERVIÇOS PRELIMINARES</v>
      </c>
      <c r="D15" s="63"/>
      <c r="E15" s="63"/>
      <c r="F15" s="64"/>
      <c r="G15" s="65"/>
      <c r="H15" s="95"/>
      <c r="I15" s="102"/>
      <c r="J15" s="95"/>
      <c r="K15" s="65"/>
      <c r="L15" s="95"/>
      <c r="M15" s="65"/>
      <c r="N15" s="15"/>
      <c r="O15" s="15"/>
      <c r="P15" s="15"/>
      <c r="Q15" s="105"/>
    </row>
    <row r="16" spans="2:20" x14ac:dyDescent="0.25">
      <c r="B16" s="66" t="str">
        <f>ORCAMENTO!B15</f>
        <v>0102</v>
      </c>
      <c r="C16" s="67" t="str">
        <f>ORCAMENTO!C15</f>
        <v>DEMOLIÇÕES E RETIRADAS</v>
      </c>
      <c r="D16" s="68"/>
      <c r="E16" s="68"/>
      <c r="F16" s="69"/>
      <c r="G16" s="70"/>
      <c r="H16" s="96"/>
      <c r="I16" s="73"/>
      <c r="J16" s="96"/>
      <c r="K16" s="70"/>
      <c r="L16" s="96"/>
      <c r="M16" s="70"/>
      <c r="N16" s="15"/>
      <c r="O16" s="15"/>
      <c r="P16" s="15"/>
      <c r="Q16" s="105"/>
    </row>
    <row r="17" spans="1:20" x14ac:dyDescent="0.25">
      <c r="B17" s="71" t="str">
        <f>ORCAMENTO!B16</f>
        <v>010221</v>
      </c>
      <c r="C17" s="72" t="str">
        <f>ORCAMENTO!C16</f>
        <v>Retirada de bandeira de porta</v>
      </c>
      <c r="D17" s="68" t="str">
        <f>ORCAMENTO!D16</f>
        <v>und</v>
      </c>
      <c r="E17" s="68">
        <f>ORCAMENTO!E16</f>
        <v>13</v>
      </c>
      <c r="F17" s="69">
        <f>ORCAMENTO!F16</f>
        <v>24.48</v>
      </c>
      <c r="G17" s="73">
        <f>ROUND(E17*F17,2)</f>
        <v>318.24</v>
      </c>
      <c r="H17" s="97">
        <v>0</v>
      </c>
      <c r="I17" s="73">
        <f>ROUND(H17*$F17,2)</f>
        <v>0</v>
      </c>
      <c r="J17" s="97">
        <v>0</v>
      </c>
      <c r="K17" s="73">
        <f>ROUND(J17*$F17,2)</f>
        <v>0</v>
      </c>
      <c r="L17" s="97">
        <f>ROUND(L34+L35,2)</f>
        <v>13</v>
      </c>
      <c r="M17" s="73">
        <f>ROUND(L17*$F17,2)</f>
        <v>318.24</v>
      </c>
      <c r="N17" s="16">
        <f>I17+K17+M17</f>
        <v>318.24</v>
      </c>
      <c r="O17" s="16">
        <f>N17-G17</f>
        <v>0</v>
      </c>
      <c r="P17" s="16"/>
      <c r="Q17" s="106">
        <f>ROUND(Q34+Q35,2)</f>
        <v>13</v>
      </c>
      <c r="S17" s="4">
        <v>0.73499999999999999</v>
      </c>
      <c r="T17" s="1">
        <f t="shared" ref="T17:T53" si="0">S17*E17</f>
        <v>9.5549999999999997</v>
      </c>
    </row>
    <row r="18" spans="1:20" x14ac:dyDescent="0.25">
      <c r="B18" s="71" t="str">
        <f>ORCAMENTO!B17</f>
        <v>010230</v>
      </c>
      <c r="C18" s="72" t="str">
        <f>ORCAMENTO!C17</f>
        <v>Retirada de pintura antiga a base de PVA</v>
      </c>
      <c r="D18" s="68" t="str">
        <f>ORCAMENTO!D17</f>
        <v>m2</v>
      </c>
      <c r="E18" s="68">
        <f>ORCAMENTO!E17</f>
        <v>62.25</v>
      </c>
      <c r="F18" s="69">
        <f>ORCAMENTO!F17</f>
        <v>5.12</v>
      </c>
      <c r="G18" s="73">
        <f>ROUND(E18*F18,2)</f>
        <v>318.72000000000003</v>
      </c>
      <c r="H18" s="97">
        <v>0</v>
      </c>
      <c r="I18" s="73">
        <f>ROUND(H18*$F18,2)</f>
        <v>0</v>
      </c>
      <c r="J18" s="97">
        <v>0</v>
      </c>
      <c r="K18" s="73">
        <f>ROUND(J18*$F18,2)</f>
        <v>0</v>
      </c>
      <c r="L18" s="97">
        <f>ROUND((7*1.2*1.2)+(3*4.8)+(1.8*3)+(1.2*1.8)+(3*4.6)+(2.7*4.8)+(1.5*2.3),2)</f>
        <v>62.25</v>
      </c>
      <c r="M18" s="73">
        <f>ROUND(L18*$F18,2)</f>
        <v>318.72000000000003</v>
      </c>
      <c r="N18" s="16">
        <f t="shared" ref="N18:N53" si="1">I18+K18+M18</f>
        <v>318.72000000000003</v>
      </c>
      <c r="O18" s="16">
        <f t="shared" ref="O18:O53" si="2">N18-G18</f>
        <v>0</v>
      </c>
      <c r="P18" s="16"/>
      <c r="Q18" s="106">
        <f>ROUND((7*1.2*1.2)+(3*4.8)+(1.8*3)+(1.2*1.8)+(3*4.6)+(2.7*4.8)+(1.5*2.3),2)</f>
        <v>62.25</v>
      </c>
      <c r="S18" s="4">
        <v>0.35</v>
      </c>
      <c r="T18" s="1">
        <f t="shared" si="0"/>
        <v>21.787499999999998</v>
      </c>
    </row>
    <row r="19" spans="1:20" ht="30" x14ac:dyDescent="0.25">
      <c r="B19" s="71" t="str">
        <f>ORCAMENTO!B18</f>
        <v>010246</v>
      </c>
      <c r="C19" s="72" t="str">
        <f>ORCAMENTO!C18</f>
        <v>Lixamento de parede com pintura antiga PVA para recebimento de nova camada de tinta</v>
      </c>
      <c r="D19" s="68" t="str">
        <f>ORCAMENTO!D18</f>
        <v>m2</v>
      </c>
      <c r="E19" s="68">
        <f>ORCAMENTO!E18</f>
        <v>62.25</v>
      </c>
      <c r="F19" s="69">
        <f>ORCAMENTO!F18</f>
        <v>3.01</v>
      </c>
      <c r="G19" s="73">
        <f>ROUND(E19*F19,2)</f>
        <v>187.37</v>
      </c>
      <c r="H19" s="97">
        <f>H18</f>
        <v>0</v>
      </c>
      <c r="I19" s="73">
        <f>ROUND(H19*$F19,2)</f>
        <v>0</v>
      </c>
      <c r="J19" s="97">
        <v>0</v>
      </c>
      <c r="K19" s="73">
        <f>ROUND(J19*$F19,2)</f>
        <v>0</v>
      </c>
      <c r="L19" s="97">
        <f>L18</f>
        <v>62.25</v>
      </c>
      <c r="M19" s="73">
        <f>ROUND(L19*$F19,2)</f>
        <v>187.37</v>
      </c>
      <c r="N19" s="16">
        <f t="shared" si="1"/>
        <v>187.37</v>
      </c>
      <c r="O19" s="16">
        <f t="shared" si="2"/>
        <v>0</v>
      </c>
      <c r="P19" s="16"/>
      <c r="Q19" s="106">
        <f>Q18</f>
        <v>62.25</v>
      </c>
      <c r="S19" s="4">
        <v>0.2</v>
      </c>
      <c r="T19" s="1">
        <f t="shared" si="0"/>
        <v>12.450000000000001</v>
      </c>
    </row>
    <row r="20" spans="1:20" x14ac:dyDescent="0.25">
      <c r="B20" s="71" t="str">
        <f>ORCAMENTO!B19</f>
        <v>010256</v>
      </c>
      <c r="C20" s="72" t="str">
        <f>ORCAMENTO!C19</f>
        <v>Remoção de telha ondulada de fibrocimento, inclusive cumeeira</v>
      </c>
      <c r="D20" s="68" t="str">
        <f>ORCAMENTO!D19</f>
        <v>m2</v>
      </c>
      <c r="E20" s="68">
        <f>ORCAMENTO!E19</f>
        <v>217.99</v>
      </c>
      <c r="F20" s="69">
        <f>ORCAMENTO!F19</f>
        <v>6.14</v>
      </c>
      <c r="G20" s="73">
        <f>ROUND(E20*F20,2)</f>
        <v>1338.46</v>
      </c>
      <c r="H20" s="97">
        <f>ROUND((20.9*10.43),2)</f>
        <v>217.99</v>
      </c>
      <c r="I20" s="73">
        <f>ROUND(H20*$F20,2)</f>
        <v>1338.46</v>
      </c>
      <c r="J20" s="97">
        <v>0</v>
      </c>
      <c r="K20" s="73">
        <f>ROUND(J20*$F20,2)</f>
        <v>0</v>
      </c>
      <c r="L20" s="97">
        <v>0</v>
      </c>
      <c r="M20" s="73">
        <f>ROUND(L20*$F20,2)</f>
        <v>0</v>
      </c>
      <c r="N20" s="16">
        <f t="shared" si="1"/>
        <v>1338.46</v>
      </c>
      <c r="O20" s="16">
        <f t="shared" si="2"/>
        <v>0</v>
      </c>
      <c r="P20" s="16"/>
      <c r="Q20" s="106">
        <f>ROUND((20.9*10.43),2)</f>
        <v>217.99</v>
      </c>
      <c r="S20" s="4">
        <v>0.18</v>
      </c>
      <c r="T20" s="1">
        <f t="shared" si="0"/>
        <v>39.238199999999999</v>
      </c>
    </row>
    <row r="21" spans="1:20" ht="30" x14ac:dyDescent="0.25">
      <c r="B21" s="71" t="str">
        <f>ORCAMENTO!B20</f>
        <v>010280-1</v>
      </c>
      <c r="C21" s="72" t="str">
        <f>ORCAMENTO!C20</f>
        <v>Remoção de cobertura em chapa de policarbonato, exclusive estrutura</v>
      </c>
      <c r="D21" s="68" t="str">
        <f>ORCAMENTO!D20</f>
        <v>m2</v>
      </c>
      <c r="E21" s="68">
        <f>ORCAMENTO!E20</f>
        <v>314.04000000000002</v>
      </c>
      <c r="F21" s="69">
        <f>ORCAMENTO!F20</f>
        <v>6.99</v>
      </c>
      <c r="G21" s="73">
        <f>ROUND(E21*F21,2)</f>
        <v>2195.14</v>
      </c>
      <c r="H21" s="97">
        <f>ROUND((6.65*23.5),2)</f>
        <v>156.28</v>
      </c>
      <c r="I21" s="73">
        <f>ROUND(H21*$F21,2)</f>
        <v>1092.4000000000001</v>
      </c>
      <c r="J21" s="97">
        <f>E21-H21</f>
        <v>157.76000000000002</v>
      </c>
      <c r="K21" s="73">
        <f>ROUND(J21*$F21,2)</f>
        <v>1102.74</v>
      </c>
      <c r="L21" s="97">
        <v>0</v>
      </c>
      <c r="M21" s="73">
        <f>ROUND(L21*$F21,2)</f>
        <v>0</v>
      </c>
      <c r="N21" s="16">
        <f t="shared" si="1"/>
        <v>2195.1400000000003</v>
      </c>
      <c r="O21" s="16">
        <f t="shared" si="2"/>
        <v>0</v>
      </c>
      <c r="P21" s="16"/>
      <c r="Q21" s="106">
        <f>ROUND((6.65*23.5)+(10.4*15.17),2)</f>
        <v>314.04000000000002</v>
      </c>
      <c r="S21" s="4">
        <v>0.21</v>
      </c>
      <c r="T21" s="1">
        <f t="shared" si="0"/>
        <v>65.948400000000007</v>
      </c>
    </row>
    <row r="22" spans="1:20" x14ac:dyDescent="0.25">
      <c r="B22" s="66" t="str">
        <f>ORCAMENTO!B22</f>
        <v>0103</v>
      </c>
      <c r="C22" s="67" t="str">
        <f>ORCAMENTO!C22</f>
        <v>DEMOLIÇÕES E RETIRADAS</v>
      </c>
      <c r="D22" s="68"/>
      <c r="E22" s="68"/>
      <c r="F22" s="69"/>
      <c r="G22" s="70"/>
      <c r="H22" s="96"/>
      <c r="I22" s="73"/>
      <c r="J22" s="96"/>
      <c r="K22" s="73"/>
      <c r="L22" s="96"/>
      <c r="M22" s="73"/>
      <c r="N22" s="16"/>
      <c r="O22" s="16"/>
      <c r="P22" s="16"/>
      <c r="Q22" s="105"/>
      <c r="T22" s="1">
        <f t="shared" si="0"/>
        <v>0</v>
      </c>
    </row>
    <row r="23" spans="1:20" x14ac:dyDescent="0.25">
      <c r="B23" s="71" t="str">
        <f>ORCAMENTO!B23</f>
        <v>010318-1</v>
      </c>
      <c r="C23" s="72" t="str">
        <f>ORCAMENTO!C23</f>
        <v>Remoção de forro em gesso, sem aproveitamento do material</v>
      </c>
      <c r="D23" s="68" t="str">
        <f>ORCAMENTO!D23</f>
        <v>m2</v>
      </c>
      <c r="E23" s="68">
        <f>ORCAMENTO!E23</f>
        <v>5.04</v>
      </c>
      <c r="F23" s="69">
        <f>ORCAMENTO!F23</f>
        <v>11.35</v>
      </c>
      <c r="G23" s="73">
        <f>ROUND(E23*F23,2)</f>
        <v>57.2</v>
      </c>
      <c r="H23" s="97">
        <v>0</v>
      </c>
      <c r="I23" s="73">
        <f>ROUND(H23*$F23,2)</f>
        <v>0</v>
      </c>
      <c r="J23" s="97">
        <v>0</v>
      </c>
      <c r="K23" s="73">
        <f>ROUND(J23*$F23,2)</f>
        <v>0</v>
      </c>
      <c r="L23" s="97">
        <f>ROUND(0.6*0.6*(2+1+2+2+4+1+1+1),2)</f>
        <v>5.04</v>
      </c>
      <c r="M23" s="73">
        <f>ROUND(L23*$F23,2)</f>
        <v>57.2</v>
      </c>
      <c r="N23" s="16">
        <f t="shared" si="1"/>
        <v>57.2</v>
      </c>
      <c r="O23" s="16">
        <f t="shared" si="2"/>
        <v>0</v>
      </c>
      <c r="P23" s="16"/>
      <c r="Q23" s="106">
        <f>ROUND(0.6*0.6*(2+1+2+2+4+1+1+1),2)</f>
        <v>5.04</v>
      </c>
      <c r="S23" s="4">
        <v>0.7</v>
      </c>
      <c r="T23" s="1">
        <f t="shared" si="0"/>
        <v>3.5279999999999996</v>
      </c>
    </row>
    <row r="24" spans="1:20" x14ac:dyDescent="0.25">
      <c r="B24" s="71" t="str">
        <f>ORCAMENTO!B24</f>
        <v>010324</v>
      </c>
      <c r="C24" s="72" t="str">
        <f>ORCAMENTO!C24</f>
        <v>Retirada de cobertura em telha canalete 90</v>
      </c>
      <c r="D24" s="68" t="str">
        <f>ORCAMENTO!D24</f>
        <v>m2</v>
      </c>
      <c r="E24" s="68">
        <f>ORCAMENTO!E24</f>
        <v>229.56</v>
      </c>
      <c r="F24" s="69">
        <f>ORCAMENTO!F24</f>
        <v>7.07</v>
      </c>
      <c r="G24" s="73">
        <f>ROUND(E24*F24,2)</f>
        <v>1622.99</v>
      </c>
      <c r="H24" s="97">
        <f>ROUND(((5.45*14.3)+(9.95*25.5))*2*15%,2)</f>
        <v>99.5</v>
      </c>
      <c r="I24" s="73">
        <f>ROUND(H24*$F24,2)</f>
        <v>703.47</v>
      </c>
      <c r="J24" s="97">
        <f>ROUND(((15.1*25.1)+(2.55*22)+(4.05*22)+(13.66*25.1))*15%,2)</f>
        <v>130.06</v>
      </c>
      <c r="K24" s="73">
        <f>ROUND(J24*$F24,2)</f>
        <v>919.52</v>
      </c>
      <c r="L24" s="97">
        <v>0</v>
      </c>
      <c r="M24" s="73">
        <f>ROUND(L24*$F24,2)</f>
        <v>0</v>
      </c>
      <c r="N24" s="16">
        <f t="shared" si="1"/>
        <v>1622.99</v>
      </c>
      <c r="O24" s="16">
        <f t="shared" si="2"/>
        <v>0</v>
      </c>
      <c r="P24" s="16"/>
      <c r="Q24" s="106">
        <f>ROUND(((((5.45*14.3)+(9.95*25.5))*2)+(15.1*25.1)+(2.55*22)+(4.05*22)+(13.66*25.1))*15%,2)</f>
        <v>229.56</v>
      </c>
      <c r="S24" s="4">
        <v>0.17499999999999999</v>
      </c>
      <c r="T24" s="1">
        <f t="shared" si="0"/>
        <v>40.172999999999995</v>
      </c>
    </row>
    <row r="25" spans="1:20" x14ac:dyDescent="0.25">
      <c r="B25" s="74" t="str">
        <f>ORCAMENTO!B25</f>
        <v>010333-1</v>
      </c>
      <c r="C25" s="75" t="str">
        <f>ORCAMENTO!C25</f>
        <v>Retirada de manta asfáltica de impermeabilização</v>
      </c>
      <c r="D25" s="68" t="str">
        <f>ORCAMENTO!D25</f>
        <v>m2</v>
      </c>
      <c r="E25" s="68">
        <f>ORCAMENTO!E25</f>
        <v>362.84</v>
      </c>
      <c r="F25" s="69">
        <f>ORCAMENTO!F25</f>
        <v>6.72</v>
      </c>
      <c r="G25" s="78">
        <f>ROUND(E25*F25,2)</f>
        <v>2438.2800000000002</v>
      </c>
      <c r="H25" s="94">
        <f>ROUND(((15.8+15.8+25.5+10.43)*2*0.7)+((0.53+0.5+0.53)*(25.5+25.5+20.9)),2)</f>
        <v>206.71</v>
      </c>
      <c r="I25" s="78">
        <f>ROUND(H25*$F25,2)</f>
        <v>1389.09</v>
      </c>
      <c r="J25" s="94">
        <f>ROUND(((40.4/2+3.1+16.5+22)*2*0.7)+((0.3+0.3+0.6)*22*2)+(3.1*1.4)+(8.91*1.4*2/2),2)</f>
        <v>156.13</v>
      </c>
      <c r="K25" s="78">
        <f>ROUND(J25*$F25,2)</f>
        <v>1049.19</v>
      </c>
      <c r="L25" s="94">
        <v>0</v>
      </c>
      <c r="M25" s="78">
        <f>ROUND(L25*$F25,2)</f>
        <v>0</v>
      </c>
      <c r="N25" s="16">
        <f t="shared" si="1"/>
        <v>2438.2799999999997</v>
      </c>
      <c r="O25" s="16">
        <f t="shared" si="2"/>
        <v>0</v>
      </c>
      <c r="P25" s="16"/>
      <c r="Q25" s="106">
        <f>ROUND(((15.8+15.8+25.5+10.43+40.4/2+3.1+16.5+22)*2*0.7)+((0.53+0.5+0.53)*(25.5+25.5+20.9))+((0.3+0.3+0.6)*22*2)+(3.1*1.4)+(8.91*1.4*2/2),2)</f>
        <v>362.84</v>
      </c>
      <c r="S25" s="4">
        <v>0.35</v>
      </c>
      <c r="T25" s="1">
        <f t="shared" si="0"/>
        <v>126.99399999999999</v>
      </c>
    </row>
    <row r="26" spans="1:20" x14ac:dyDescent="0.25">
      <c r="A26" s="7"/>
      <c r="B26" s="79" t="str">
        <f>ORCAMENTO!B29</f>
        <v>02</v>
      </c>
      <c r="C26" s="80" t="str">
        <f>ORCAMENTO!C29</f>
        <v>INSTALAÇÃO DO CANTEIRO DE OBRAS</v>
      </c>
      <c r="D26" s="81"/>
      <c r="E26" s="81"/>
      <c r="F26" s="81"/>
      <c r="G26" s="82"/>
      <c r="H26" s="99"/>
      <c r="I26" s="82"/>
      <c r="J26" s="99"/>
      <c r="K26" s="82"/>
      <c r="L26" s="99"/>
      <c r="M26" s="82"/>
      <c r="N26" s="16"/>
      <c r="O26" s="16"/>
      <c r="P26" s="16"/>
      <c r="Q26" s="106"/>
      <c r="T26" s="1">
        <f t="shared" si="0"/>
        <v>0</v>
      </c>
    </row>
    <row r="27" spans="1:20" x14ac:dyDescent="0.25">
      <c r="B27" s="66" t="str">
        <f>ORCAMENTO!B30</f>
        <v>0203</v>
      </c>
      <c r="C27" s="67" t="str">
        <f>ORCAMENTO!C30</f>
        <v>TAPUMES, BARRACÕES E COBERTURAS</v>
      </c>
      <c r="D27" s="68"/>
      <c r="E27" s="68"/>
      <c r="F27" s="68"/>
      <c r="G27" s="73"/>
      <c r="H27" s="97"/>
      <c r="I27" s="73"/>
      <c r="J27" s="97"/>
      <c r="K27" s="73"/>
      <c r="L27" s="97"/>
      <c r="M27" s="73"/>
      <c r="N27" s="16"/>
      <c r="O27" s="16"/>
      <c r="P27" s="16"/>
      <c r="Q27" s="106"/>
      <c r="T27" s="1">
        <f t="shared" si="0"/>
        <v>0</v>
      </c>
    </row>
    <row r="28" spans="1:20" ht="30" x14ac:dyDescent="0.25">
      <c r="B28" s="74" t="str">
        <f>ORCAMENTO!B31</f>
        <v>020346</v>
      </c>
      <c r="C28" s="75" t="str">
        <f>ORCAMENTO!C31</f>
        <v>Locação de andaime metálico para fachada - tipo torre (aluguel mensal)</v>
      </c>
      <c r="D28" s="76" t="str">
        <f>ORCAMENTO!D31</f>
        <v>m</v>
      </c>
      <c r="E28" s="76">
        <f>ORCAMENTO!E31</f>
        <v>108</v>
      </c>
      <c r="F28" s="83">
        <f>ORCAMENTO!F31</f>
        <v>10.51</v>
      </c>
      <c r="G28" s="78">
        <f>E28*F28</f>
        <v>1135.08</v>
      </c>
      <c r="H28" s="98">
        <f>4*9*1</f>
        <v>36</v>
      </c>
      <c r="I28" s="78">
        <f>ROUND(H28*$F28,2)</f>
        <v>378.36</v>
      </c>
      <c r="J28" s="98">
        <f>4*9*1</f>
        <v>36</v>
      </c>
      <c r="K28" s="78">
        <f>ROUND(J28*$F28,2)</f>
        <v>378.36</v>
      </c>
      <c r="L28" s="98">
        <f>4*9*1</f>
        <v>36</v>
      </c>
      <c r="M28" s="78">
        <f>ROUND(L28*$F28,2)</f>
        <v>378.36</v>
      </c>
      <c r="N28" s="16">
        <f t="shared" si="1"/>
        <v>1135.08</v>
      </c>
      <c r="O28" s="16">
        <f t="shared" si="2"/>
        <v>0</v>
      </c>
      <c r="P28" s="16"/>
      <c r="Q28" s="106">
        <f>4*9*3</f>
        <v>108</v>
      </c>
      <c r="T28" s="1">
        <f t="shared" si="0"/>
        <v>0</v>
      </c>
    </row>
    <row r="29" spans="1:20" x14ac:dyDescent="0.25">
      <c r="B29" s="79" t="str">
        <f>ORCAMENTO!B35</f>
        <v>03</v>
      </c>
      <c r="C29" s="80" t="str">
        <f>ORCAMENTO!C35</f>
        <v>MOVIMENTO DE TERRA</v>
      </c>
      <c r="D29" s="81"/>
      <c r="E29" s="81"/>
      <c r="F29" s="81"/>
      <c r="G29" s="84"/>
      <c r="H29" s="100"/>
      <c r="I29" s="82"/>
      <c r="J29" s="100"/>
      <c r="K29" s="82"/>
      <c r="L29" s="100"/>
      <c r="M29" s="82"/>
      <c r="N29" s="16"/>
      <c r="O29" s="16"/>
      <c r="P29" s="16"/>
      <c r="Q29" s="105"/>
      <c r="T29" s="1">
        <f t="shared" si="0"/>
        <v>0</v>
      </c>
    </row>
    <row r="30" spans="1:20" x14ac:dyDescent="0.25">
      <c r="B30" s="66" t="str">
        <f>ORCAMENTO!B36</f>
        <v>0303</v>
      </c>
      <c r="C30" s="67" t="str">
        <f>ORCAMENTO!C36</f>
        <v>TRANSPORTES</v>
      </c>
      <c r="D30" s="68"/>
      <c r="E30" s="68"/>
      <c r="F30" s="68"/>
      <c r="G30" s="70"/>
      <c r="H30" s="96"/>
      <c r="I30" s="73"/>
      <c r="J30" s="96"/>
      <c r="K30" s="73"/>
      <c r="L30" s="96"/>
      <c r="M30" s="73"/>
      <c r="N30" s="16"/>
      <c r="O30" s="16"/>
      <c r="P30" s="16"/>
      <c r="Q30" s="105"/>
      <c r="T30" s="1">
        <f t="shared" si="0"/>
        <v>0</v>
      </c>
    </row>
    <row r="31" spans="1:20" ht="45" customHeight="1" x14ac:dyDescent="0.25">
      <c r="B31" s="74" t="str">
        <f>ORCAMENTO!B37</f>
        <v>030304</v>
      </c>
      <c r="C31" s="75" t="str">
        <f>ORCAMENTO!C37</f>
        <v>Índice de preço para remoção de entulho decorrente da execução de obras (Classe A CONAMA - NBR 10.004 - Classe II-B), incluindo aluguel da caçamba, carga, transporte e descarga em área licenciada</v>
      </c>
      <c r="D31" s="76" t="str">
        <f>ORCAMENTO!D37</f>
        <v>m3</v>
      </c>
      <c r="E31" s="76">
        <f>ORCAMENTO!E37</f>
        <v>16.940000000000001</v>
      </c>
      <c r="F31" s="83">
        <f>ORCAMENTO!F37</f>
        <v>59.68</v>
      </c>
      <c r="G31" s="78">
        <f>ROUND(E31*F31,2)</f>
        <v>1010.98</v>
      </c>
      <c r="H31" s="98">
        <f>ROUND((H20*0.01+H21*0.01+H23*0.01+H24*0.01+H25*0.01)*150%,2)</f>
        <v>10.210000000000001</v>
      </c>
      <c r="I31" s="78">
        <f>ROUND(H31*$F31,2)</f>
        <v>609.33000000000004</v>
      </c>
      <c r="J31" s="98">
        <f>ROUND((J20*0.01+J21*0.01+J23*0.01+J24*0.01+J25*0.01)*150%,2)</f>
        <v>6.66</v>
      </c>
      <c r="K31" s="78">
        <f>ROUND(J31*$F31,2)</f>
        <v>397.47</v>
      </c>
      <c r="L31" s="98">
        <f>E31-H31-J31</f>
        <v>7.0000000000000284E-2</v>
      </c>
      <c r="M31" s="78">
        <f>ROUND(L31*$F31,2)</f>
        <v>4.18</v>
      </c>
      <c r="N31" s="16">
        <f t="shared" si="1"/>
        <v>1010.98</v>
      </c>
      <c r="O31" s="16">
        <f t="shared" si="2"/>
        <v>0</v>
      </c>
      <c r="P31" s="16"/>
      <c r="Q31" s="106">
        <f>ROUND((Q20*0.01+Q21*0.01+Q23*0.01+Q24*0.01+Q25*0.01)*150%,2)</f>
        <v>16.940000000000001</v>
      </c>
      <c r="S31" s="4">
        <v>0.63</v>
      </c>
      <c r="T31" s="1">
        <f t="shared" si="0"/>
        <v>10.6722</v>
      </c>
    </row>
    <row r="32" spans="1:20" x14ac:dyDescent="0.25">
      <c r="B32" s="79" t="str">
        <f>ORCAMENTO!B41</f>
        <v>06</v>
      </c>
      <c r="C32" s="80" t="str">
        <f>ORCAMENTO!C41</f>
        <v>ESQUADRIAS DE MADEIRA</v>
      </c>
      <c r="D32" s="81"/>
      <c r="E32" s="81"/>
      <c r="F32" s="81"/>
      <c r="G32" s="84"/>
      <c r="H32" s="100"/>
      <c r="I32" s="82"/>
      <c r="J32" s="100"/>
      <c r="K32" s="82"/>
      <c r="L32" s="100"/>
      <c r="M32" s="82"/>
      <c r="N32" s="16"/>
      <c r="O32" s="16"/>
      <c r="P32" s="16"/>
      <c r="Q32" s="105"/>
      <c r="T32" s="1">
        <f t="shared" si="0"/>
        <v>0</v>
      </c>
    </row>
    <row r="33" spans="1:20" ht="60" x14ac:dyDescent="0.25">
      <c r="A33" s="7"/>
      <c r="B33" s="85" t="str">
        <f>ORCAMENTO!B42</f>
        <v>0619-1</v>
      </c>
      <c r="C33" s="86" t="str">
        <f>ORCAMENTO!C42</f>
        <v>PORTA EM MADEIRA DE LEI TIPO ANGELIM PEDRA OU EQUIV. C/ ENCHIMENTO EM MADEIRA DE 1ª QUALIDADE ESP 30MM, INCL. ALIZARES, DOBRADIÇAS E FECHADURAS EXT EM LATÃO CROMADO LAFONTE/EQUIV , EXCL. MARCO, NAS DIMENSÕES:</v>
      </c>
      <c r="D33" s="68"/>
      <c r="E33" s="68"/>
      <c r="F33" s="68"/>
      <c r="G33" s="70"/>
      <c r="H33" s="96"/>
      <c r="I33" s="73"/>
      <c r="J33" s="96"/>
      <c r="K33" s="73"/>
      <c r="L33" s="96"/>
      <c r="M33" s="73"/>
      <c r="N33" s="16"/>
      <c r="O33" s="16"/>
      <c r="P33" s="16"/>
      <c r="Q33" s="105"/>
      <c r="T33" s="1">
        <f t="shared" si="0"/>
        <v>0</v>
      </c>
    </row>
    <row r="34" spans="1:20" ht="60" x14ac:dyDescent="0.25">
      <c r="A34" s="7"/>
      <c r="B34" s="87" t="str">
        <f>ORCAMENTO!B43</f>
        <v>061902-1</v>
      </c>
      <c r="C34" s="88" t="str">
        <f>ORCAMENTO!C43</f>
        <v>Porta em madeira de Lei tipo Angelim Pedra ou equiv. c/ enchimento em madeira de 1ª qualidade esp. 30mm, inclusive alizares, dobradiças e fechaduras externas em latão cromado La Fonte/equiv. exclusive marco, nas dimensões: 0.80 x 2.10 m</v>
      </c>
      <c r="D34" s="68" t="str">
        <f>ORCAMENTO!D43</f>
        <v>und</v>
      </c>
      <c r="E34" s="68">
        <f>ORCAMENTO!E43</f>
        <v>6</v>
      </c>
      <c r="F34" s="69">
        <f>ORCAMENTO!F43</f>
        <v>1215.58</v>
      </c>
      <c r="G34" s="73">
        <f>ROUND(E34*F34,2)</f>
        <v>7293.48</v>
      </c>
      <c r="H34" s="97">
        <v>0</v>
      </c>
      <c r="I34" s="73">
        <f>ROUND(H34*$F34,2)</f>
        <v>0</v>
      </c>
      <c r="J34" s="97">
        <v>0</v>
      </c>
      <c r="K34" s="73">
        <f>ROUND(J34*$F34,2)</f>
        <v>0</v>
      </c>
      <c r="L34" s="97">
        <v>6</v>
      </c>
      <c r="M34" s="73">
        <f>ROUND(L34*$F34,2)</f>
        <v>7293.48</v>
      </c>
      <c r="N34" s="16">
        <f t="shared" si="1"/>
        <v>7293.48</v>
      </c>
      <c r="O34" s="16">
        <f t="shared" si="2"/>
        <v>0</v>
      </c>
      <c r="P34" s="16"/>
      <c r="Q34" s="106">
        <v>6</v>
      </c>
      <c r="S34" s="4">
        <v>3.75</v>
      </c>
      <c r="T34" s="1">
        <f t="shared" si="0"/>
        <v>22.5</v>
      </c>
    </row>
    <row r="35" spans="1:20" ht="75" x14ac:dyDescent="0.25">
      <c r="B35" s="89" t="str">
        <f>ORCAMENTO!B44</f>
        <v>061903-1</v>
      </c>
      <c r="C35" s="90" t="str">
        <f>ORCAMENTO!C44</f>
        <v>Porta em madeira de Lei tipo Angelim Pedra ou equiv. c/ enchimento em madeira de 1ª qualidade esp. 30mm, inclusive alizares, dobradiças e fechaduras externas em latão cromado La Fonte/equiv. exclusive marco, nas dimensões: 0.90 x 2.10 m - padrão IDAF</v>
      </c>
      <c r="D35" s="68" t="str">
        <f>ORCAMENTO!D44</f>
        <v>und</v>
      </c>
      <c r="E35" s="68">
        <f>ORCAMENTO!E44</f>
        <v>7</v>
      </c>
      <c r="F35" s="83">
        <f>ORCAMENTO!F44</f>
        <v>1291.93</v>
      </c>
      <c r="G35" s="78">
        <f>ROUND(E35*F35,2)</f>
        <v>9043.51</v>
      </c>
      <c r="H35" s="98">
        <v>0</v>
      </c>
      <c r="I35" s="78">
        <f>ROUND(H35*$F35,2)</f>
        <v>0</v>
      </c>
      <c r="J35" s="98">
        <v>0</v>
      </c>
      <c r="K35" s="78">
        <f>ROUND(J35*$F35,2)</f>
        <v>0</v>
      </c>
      <c r="L35" s="98">
        <v>7</v>
      </c>
      <c r="M35" s="78">
        <f>ROUND(L35*$F35,2)</f>
        <v>9043.51</v>
      </c>
      <c r="N35" s="16">
        <f t="shared" si="1"/>
        <v>9043.51</v>
      </c>
      <c r="O35" s="16">
        <f t="shared" si="2"/>
        <v>0</v>
      </c>
      <c r="P35" s="16"/>
      <c r="Q35" s="106">
        <v>7</v>
      </c>
      <c r="S35" s="4">
        <v>3.75</v>
      </c>
      <c r="T35" s="1">
        <f t="shared" si="0"/>
        <v>26.25</v>
      </c>
    </row>
    <row r="36" spans="1:20" x14ac:dyDescent="0.25">
      <c r="B36" s="79" t="str">
        <f>ORCAMENTO!B48</f>
        <v>09</v>
      </c>
      <c r="C36" s="80" t="str">
        <f>ORCAMENTO!C48</f>
        <v>COBERTURA</v>
      </c>
      <c r="D36" s="81"/>
      <c r="E36" s="81"/>
      <c r="F36" s="81"/>
      <c r="G36" s="82"/>
      <c r="H36" s="99"/>
      <c r="I36" s="82"/>
      <c r="J36" s="99"/>
      <c r="K36" s="82"/>
      <c r="L36" s="99"/>
      <c r="M36" s="82"/>
      <c r="N36" s="16"/>
      <c r="O36" s="16"/>
      <c r="P36" s="16"/>
      <c r="Q36" s="106"/>
      <c r="T36" s="1">
        <f t="shared" si="0"/>
        <v>0</v>
      </c>
    </row>
    <row r="37" spans="1:20" x14ac:dyDescent="0.25">
      <c r="B37" s="66" t="str">
        <f>ORCAMENTO!B49</f>
        <v>0902</v>
      </c>
      <c r="C37" s="67" t="str">
        <f>ORCAMENTO!C49</f>
        <v>TELHADO</v>
      </c>
      <c r="D37" s="68"/>
      <c r="E37" s="68"/>
      <c r="F37" s="68"/>
      <c r="G37" s="73"/>
      <c r="H37" s="97"/>
      <c r="I37" s="73"/>
      <c r="J37" s="97"/>
      <c r="K37" s="73"/>
      <c r="L37" s="97"/>
      <c r="M37" s="73"/>
      <c r="N37" s="16"/>
      <c r="O37" s="16"/>
      <c r="P37" s="16"/>
      <c r="Q37" s="106"/>
      <c r="T37" s="1">
        <f t="shared" si="0"/>
        <v>0</v>
      </c>
    </row>
    <row r="38" spans="1:20" ht="30" x14ac:dyDescent="0.25">
      <c r="B38" s="71" t="str">
        <f>ORCAMENTO!B50</f>
        <v>090202</v>
      </c>
      <c r="C38" s="72" t="str">
        <f>ORCAMENTO!C50</f>
        <v>Cobertura nova de telhas onduladas de fibrocimento 6.0mm, inclusive cumeeiras e acessórios de fixação</v>
      </c>
      <c r="D38" s="68" t="str">
        <f>ORCAMENTO!D50</f>
        <v>m2</v>
      </c>
      <c r="E38" s="68">
        <f>ORCAMENTO!E50</f>
        <v>217.99</v>
      </c>
      <c r="F38" s="69">
        <f>ORCAMENTO!F50</f>
        <v>46.09</v>
      </c>
      <c r="G38" s="73">
        <f>ROUND(E38*F38,2)</f>
        <v>10047.16</v>
      </c>
      <c r="H38" s="97">
        <f>H20</f>
        <v>217.99</v>
      </c>
      <c r="I38" s="73">
        <f>ROUND(H38*$F38,2)</f>
        <v>10047.16</v>
      </c>
      <c r="J38" s="97">
        <f>J20</f>
        <v>0</v>
      </c>
      <c r="K38" s="73">
        <f>ROUND(J38*$F38,2)</f>
        <v>0</v>
      </c>
      <c r="L38" s="97">
        <f>L20</f>
        <v>0</v>
      </c>
      <c r="M38" s="73">
        <f>ROUND(L38*$F38,2)</f>
        <v>0</v>
      </c>
      <c r="N38" s="16">
        <f t="shared" si="1"/>
        <v>10047.16</v>
      </c>
      <c r="O38" s="16">
        <f t="shared" si="2"/>
        <v>0</v>
      </c>
      <c r="P38" s="16"/>
      <c r="Q38" s="106">
        <f>Q20</f>
        <v>217.99</v>
      </c>
      <c r="S38" s="4">
        <v>0.23200000000000001</v>
      </c>
      <c r="T38" s="1">
        <f t="shared" si="0"/>
        <v>50.573680000000003</v>
      </c>
    </row>
    <row r="39" spans="1:20" x14ac:dyDescent="0.25">
      <c r="B39" s="71" t="str">
        <f>ORCAMENTO!B51</f>
        <v>090206-1</v>
      </c>
      <c r="C39" s="72" t="str">
        <f>ORCAMENTO!C51</f>
        <v>Cobertura nova com chapa de policarbonato alveolar, esp. 10mm</v>
      </c>
      <c r="D39" s="68" t="str">
        <f>ORCAMENTO!D51</f>
        <v>m2</v>
      </c>
      <c r="E39" s="68">
        <f>ORCAMENTO!E51</f>
        <v>314.04000000000002</v>
      </c>
      <c r="F39" s="69">
        <f>ORCAMENTO!F51</f>
        <v>208.68</v>
      </c>
      <c r="G39" s="73">
        <f>ROUND(E39*F39,2)</f>
        <v>65533.87</v>
      </c>
      <c r="H39" s="97">
        <f>H21</f>
        <v>156.28</v>
      </c>
      <c r="I39" s="73">
        <f>ROUND(H39*$F39,2)</f>
        <v>32612.51</v>
      </c>
      <c r="J39" s="97">
        <f>J21</f>
        <v>157.76000000000002</v>
      </c>
      <c r="K39" s="73">
        <f>ROUND(J39*$F39,2)</f>
        <v>32921.360000000001</v>
      </c>
      <c r="L39" s="97">
        <f>L21</f>
        <v>0</v>
      </c>
      <c r="M39" s="73">
        <f>ROUND(L39*$F39,2)</f>
        <v>0</v>
      </c>
      <c r="N39" s="16">
        <f t="shared" si="1"/>
        <v>65533.869999999995</v>
      </c>
      <c r="O39" s="16">
        <f t="shared" si="2"/>
        <v>0</v>
      </c>
      <c r="P39" s="16"/>
      <c r="Q39" s="106">
        <f>Q21</f>
        <v>314.04000000000002</v>
      </c>
      <c r="S39" s="4">
        <v>0.23200000000000001</v>
      </c>
      <c r="T39" s="1">
        <f t="shared" si="0"/>
        <v>72.857280000000003</v>
      </c>
    </row>
    <row r="40" spans="1:20" ht="30" x14ac:dyDescent="0.25">
      <c r="B40" s="74" t="str">
        <f>ORCAMENTO!B52</f>
        <v>090207-1</v>
      </c>
      <c r="C40" s="75" t="str">
        <f>ORCAMENTO!C52</f>
        <v>Cobertura nova de telhas de fibrocimento tipo canalete 90, inclusive cumeeira e acessórios de fixação</v>
      </c>
      <c r="D40" s="68" t="str">
        <f>ORCAMENTO!D52</f>
        <v>m2</v>
      </c>
      <c r="E40" s="68">
        <f>ORCAMENTO!E52</f>
        <v>229.56</v>
      </c>
      <c r="F40" s="69">
        <f>ORCAMENTO!F52</f>
        <v>116.64</v>
      </c>
      <c r="G40" s="78">
        <f>ROUND(E40*F40,2)</f>
        <v>26775.88</v>
      </c>
      <c r="H40" s="98">
        <f>H24</f>
        <v>99.5</v>
      </c>
      <c r="I40" s="78">
        <f>ROUND(H40*$F40,2)</f>
        <v>11605.68</v>
      </c>
      <c r="J40" s="98">
        <f>J24</f>
        <v>130.06</v>
      </c>
      <c r="K40" s="78">
        <f>ROUND(J40*$F40,2)</f>
        <v>15170.2</v>
      </c>
      <c r="L40" s="98">
        <f>L24</f>
        <v>0</v>
      </c>
      <c r="M40" s="78">
        <f>ROUND(L40*$F40,2)</f>
        <v>0</v>
      </c>
      <c r="N40" s="16">
        <f t="shared" si="1"/>
        <v>26775.88</v>
      </c>
      <c r="O40" s="16">
        <f t="shared" si="2"/>
        <v>0</v>
      </c>
      <c r="P40" s="16"/>
      <c r="Q40" s="106">
        <f>Q24</f>
        <v>229.56</v>
      </c>
      <c r="S40" s="4">
        <v>0.23200000000000001</v>
      </c>
      <c r="T40" s="1">
        <f t="shared" si="0"/>
        <v>53.257920000000006</v>
      </c>
    </row>
    <row r="41" spans="1:20" x14ac:dyDescent="0.25">
      <c r="B41" s="79" t="str">
        <f>ORCAMENTO!B56</f>
        <v>10</v>
      </c>
      <c r="C41" s="80" t="str">
        <f>ORCAMENTO!C56</f>
        <v>IMPERMEABILIZAÇÃO</v>
      </c>
      <c r="D41" s="81"/>
      <c r="E41" s="81"/>
      <c r="F41" s="81"/>
      <c r="G41" s="82"/>
      <c r="H41" s="99"/>
      <c r="I41" s="82"/>
      <c r="J41" s="99"/>
      <c r="K41" s="82"/>
      <c r="L41" s="99"/>
      <c r="M41" s="82"/>
      <c r="N41" s="16"/>
      <c r="O41" s="16"/>
      <c r="P41" s="16"/>
      <c r="Q41" s="106"/>
      <c r="T41" s="1">
        <f t="shared" si="0"/>
        <v>0</v>
      </c>
    </row>
    <row r="42" spans="1:20" ht="30" x14ac:dyDescent="0.25">
      <c r="B42" s="66" t="str">
        <f>ORCAMENTO!B57</f>
        <v>1002</v>
      </c>
      <c r="C42" s="67" t="str">
        <f>ORCAMENTO!C57</f>
        <v>IMPERMEABILIZAÇÃO CALHAS, LAJES DESCOBERTAS, BALDRAMES, PAREDES E JARDINEIRAS</v>
      </c>
      <c r="D42" s="68"/>
      <c r="E42" s="68"/>
      <c r="F42" s="68"/>
      <c r="G42" s="73"/>
      <c r="H42" s="97"/>
      <c r="I42" s="73"/>
      <c r="J42" s="97"/>
      <c r="K42" s="73"/>
      <c r="L42" s="97"/>
      <c r="M42" s="73"/>
      <c r="N42" s="16"/>
      <c r="O42" s="16"/>
      <c r="P42" s="16"/>
      <c r="Q42" s="106"/>
      <c r="T42" s="1">
        <f t="shared" si="0"/>
        <v>0</v>
      </c>
    </row>
    <row r="43" spans="1:20" ht="45" x14ac:dyDescent="0.25">
      <c r="B43" s="91" t="str">
        <f>ORCAMENTO!B58</f>
        <v>SINAPI/ES 73753/001
(09/2018)</v>
      </c>
      <c r="C43" s="75" t="str">
        <f>ORCAMENTO!C58</f>
        <v>IMPERMEABILIZACAO DE SUPERFICIE COM MANTA ASFALTICA PROTEGIDA COM FILME DE ALUMINIO GOFRADO (DE ESPESSURA 0,8MM), INCLUSA APLICACAO DE EMULSAO ASFALTICA, E=3MM.</v>
      </c>
      <c r="D43" s="76" t="str">
        <f>ORCAMENTO!D58</f>
        <v>m2</v>
      </c>
      <c r="E43" s="77">
        <f>ORCAMENTO!E58</f>
        <v>362.84</v>
      </c>
      <c r="F43" s="83">
        <f>ORCAMENTO!F58</f>
        <v>119.16</v>
      </c>
      <c r="G43" s="78">
        <f>ROUND(E43*F43,2)</f>
        <v>43236.01</v>
      </c>
      <c r="H43" s="94">
        <f>H25</f>
        <v>206.71</v>
      </c>
      <c r="I43" s="78">
        <f>ROUND(H43*$F43,2)</f>
        <v>24631.56</v>
      </c>
      <c r="J43" s="94">
        <f>J25</f>
        <v>156.13</v>
      </c>
      <c r="K43" s="78">
        <f>ROUND(J43*$F43,2)</f>
        <v>18604.45</v>
      </c>
      <c r="L43" s="98">
        <f>L25</f>
        <v>0</v>
      </c>
      <c r="M43" s="78">
        <f>ROUND(L43*$F43,2)</f>
        <v>0</v>
      </c>
      <c r="N43" s="16">
        <f t="shared" si="1"/>
        <v>43236.01</v>
      </c>
      <c r="O43" s="16">
        <f t="shared" si="2"/>
        <v>0</v>
      </c>
      <c r="P43" s="16"/>
      <c r="Q43" s="106">
        <f>Q25</f>
        <v>362.84</v>
      </c>
      <c r="S43" s="4">
        <v>0.75</v>
      </c>
      <c r="T43" s="1">
        <f t="shared" si="0"/>
        <v>272.13</v>
      </c>
    </row>
    <row r="44" spans="1:20" x14ac:dyDescent="0.25">
      <c r="B44" s="79">
        <f>ORCAMENTO!B62</f>
        <v>11</v>
      </c>
      <c r="C44" s="80" t="str">
        <f>ORCAMENTO!C62</f>
        <v>TETOS E FORROS</v>
      </c>
      <c r="D44" s="81"/>
      <c r="E44" s="81"/>
      <c r="F44" s="81"/>
      <c r="G44" s="84"/>
      <c r="H44" s="100"/>
      <c r="I44" s="82"/>
      <c r="J44" s="100"/>
      <c r="K44" s="82"/>
      <c r="L44" s="100"/>
      <c r="M44" s="82"/>
      <c r="N44" s="16"/>
      <c r="O44" s="16"/>
      <c r="P44" s="16"/>
      <c r="Q44" s="105"/>
      <c r="T44" s="1">
        <f t="shared" si="0"/>
        <v>0</v>
      </c>
    </row>
    <row r="45" spans="1:20" x14ac:dyDescent="0.25">
      <c r="B45" s="66">
        <f>ORCAMENTO!B63</f>
        <v>1102</v>
      </c>
      <c r="C45" s="67" t="str">
        <f>ORCAMENTO!C63</f>
        <v>REBAIXAMENTOS</v>
      </c>
      <c r="D45" s="68"/>
      <c r="E45" s="68"/>
      <c r="F45" s="68"/>
      <c r="G45" s="70"/>
      <c r="H45" s="96"/>
      <c r="I45" s="73"/>
      <c r="J45" s="96"/>
      <c r="K45" s="73"/>
      <c r="L45" s="96"/>
      <c r="M45" s="73"/>
      <c r="N45" s="16"/>
      <c r="O45" s="16"/>
      <c r="P45" s="16"/>
      <c r="Q45" s="105"/>
      <c r="T45" s="1">
        <f t="shared" si="0"/>
        <v>0</v>
      </c>
    </row>
    <row r="46" spans="1:20" x14ac:dyDescent="0.25">
      <c r="B46" s="74" t="str">
        <f>ORCAMENTO!B64</f>
        <v>110201</v>
      </c>
      <c r="C46" s="75" t="str">
        <f>ORCAMENTO!C64</f>
        <v>Forro de gesso acabamento tipo liso</v>
      </c>
      <c r="D46" s="76" t="str">
        <f>ORCAMENTO!D64</f>
        <v>m2</v>
      </c>
      <c r="E46" s="76">
        <f>ORCAMENTO!E64</f>
        <v>5.04</v>
      </c>
      <c r="F46" s="83">
        <f>ORCAMENTO!F64</f>
        <v>35.06</v>
      </c>
      <c r="G46" s="78">
        <f>ROUND(E46*F46,2)</f>
        <v>176.7</v>
      </c>
      <c r="H46" s="98">
        <f>H23</f>
        <v>0</v>
      </c>
      <c r="I46" s="78">
        <f>ROUND(H46*$F46,2)</f>
        <v>0</v>
      </c>
      <c r="J46" s="98">
        <f>J23</f>
        <v>0</v>
      </c>
      <c r="K46" s="78">
        <f>ROUND(J46*$F46,2)</f>
        <v>0</v>
      </c>
      <c r="L46" s="98">
        <f>L23</f>
        <v>5.04</v>
      </c>
      <c r="M46" s="78">
        <f>ROUND(L46*$F46,2)</f>
        <v>176.7</v>
      </c>
      <c r="N46" s="16">
        <f t="shared" si="1"/>
        <v>176.7</v>
      </c>
      <c r="O46" s="16">
        <f t="shared" si="2"/>
        <v>0</v>
      </c>
      <c r="P46" s="16"/>
      <c r="Q46" s="106">
        <f>Q23</f>
        <v>5.04</v>
      </c>
      <c r="S46" s="4">
        <v>1</v>
      </c>
      <c r="T46" s="1">
        <f t="shared" si="0"/>
        <v>5.04</v>
      </c>
    </row>
    <row r="47" spans="1:20" x14ac:dyDescent="0.25">
      <c r="B47" s="79" t="str">
        <f>ORCAMENTO!B68</f>
        <v>19</v>
      </c>
      <c r="C47" s="80" t="str">
        <f>ORCAMENTO!C68</f>
        <v>PINTURA</v>
      </c>
      <c r="D47" s="81"/>
      <c r="E47" s="81"/>
      <c r="F47" s="81"/>
      <c r="G47" s="84"/>
      <c r="H47" s="100"/>
      <c r="I47" s="82"/>
      <c r="J47" s="100"/>
      <c r="K47" s="82"/>
      <c r="L47" s="100"/>
      <c r="M47" s="82"/>
      <c r="N47" s="16"/>
      <c r="O47" s="16"/>
      <c r="P47" s="16"/>
      <c r="Q47" s="105"/>
      <c r="T47" s="1">
        <f t="shared" si="0"/>
        <v>0</v>
      </c>
    </row>
    <row r="48" spans="1:20" x14ac:dyDescent="0.25">
      <c r="B48" s="66" t="str">
        <f>ORCAMENTO!B69</f>
        <v>1901</v>
      </c>
      <c r="C48" s="67" t="str">
        <f>ORCAMENTO!C69</f>
        <v>SOBRE PAREDES E FORROS</v>
      </c>
      <c r="D48" s="68"/>
      <c r="E48" s="68"/>
      <c r="F48" s="68"/>
      <c r="G48" s="70"/>
      <c r="H48" s="96"/>
      <c r="I48" s="73"/>
      <c r="J48" s="96"/>
      <c r="K48" s="73"/>
      <c r="L48" s="96"/>
      <c r="M48" s="73"/>
      <c r="N48" s="16"/>
      <c r="O48" s="16"/>
      <c r="P48" s="16"/>
      <c r="Q48" s="105"/>
      <c r="T48" s="1">
        <f t="shared" si="0"/>
        <v>0</v>
      </c>
    </row>
    <row r="49" spans="2:23" ht="30" x14ac:dyDescent="0.25">
      <c r="B49" s="71" t="str">
        <f>ORCAMENTO!B70</f>
        <v>190101</v>
      </c>
      <c r="C49" s="72" t="str">
        <f>ORCAMENTO!C70</f>
        <v>Emassamento de paredes e forros, com duas demãos de massa à base de PVA, marcas de referência Suvinil, Coral ou Metalatex</v>
      </c>
      <c r="D49" s="68" t="str">
        <f>ORCAMENTO!D70</f>
        <v>m2</v>
      </c>
      <c r="E49" s="68">
        <f>ORCAMENTO!E70</f>
        <v>62.25</v>
      </c>
      <c r="F49" s="69">
        <f>ORCAMENTO!F70</f>
        <v>11.94</v>
      </c>
      <c r="G49" s="73">
        <f>ROUND(E49*F49,2)</f>
        <v>743.27</v>
      </c>
      <c r="H49" s="97">
        <f>H18</f>
        <v>0</v>
      </c>
      <c r="I49" s="73">
        <f>ROUND(H49*$F49,2)</f>
        <v>0</v>
      </c>
      <c r="J49" s="97">
        <f>J18</f>
        <v>0</v>
      </c>
      <c r="K49" s="73">
        <f>ROUND(J49*$F49,2)</f>
        <v>0</v>
      </c>
      <c r="L49" s="97">
        <f>L18</f>
        <v>62.25</v>
      </c>
      <c r="M49" s="73">
        <f>ROUND(L49*$F49,2)</f>
        <v>743.27</v>
      </c>
      <c r="N49" s="16">
        <f t="shared" si="1"/>
        <v>743.27</v>
      </c>
      <c r="O49" s="16">
        <f t="shared" si="2"/>
        <v>0</v>
      </c>
      <c r="P49" s="16"/>
      <c r="Q49" s="106">
        <f>Q18</f>
        <v>62.25</v>
      </c>
      <c r="S49" s="4">
        <v>0.3</v>
      </c>
      <c r="T49" s="1">
        <f t="shared" si="0"/>
        <v>18.675000000000001</v>
      </c>
    </row>
    <row r="50" spans="2:23" ht="30" customHeight="1" x14ac:dyDescent="0.25">
      <c r="B50" s="71" t="str">
        <f>ORCAMENTO!B71</f>
        <v>190115</v>
      </c>
      <c r="C50" s="72" t="str">
        <f>ORCAMENTO!C71</f>
        <v>Pintura com tinta látex PVA, marcas de referência Suvinil, Coral ou Metalatex, inclusive selador, em paredes
e forros, a duas demãos</v>
      </c>
      <c r="D50" s="68" t="str">
        <f>ORCAMENTO!D71</f>
        <v>m2</v>
      </c>
      <c r="E50" s="68">
        <f>ORCAMENTO!E71</f>
        <v>62.25</v>
      </c>
      <c r="F50" s="69">
        <f>ORCAMENTO!F71</f>
        <v>17.57</v>
      </c>
      <c r="G50" s="73">
        <f>ROUND(E50*F50,2)</f>
        <v>1093.73</v>
      </c>
      <c r="H50" s="97">
        <f>H18</f>
        <v>0</v>
      </c>
      <c r="I50" s="73">
        <f>ROUND(H50*$F50,2)</f>
        <v>0</v>
      </c>
      <c r="J50" s="97">
        <f>J18</f>
        <v>0</v>
      </c>
      <c r="K50" s="73">
        <f>ROUND(J50*$F50,2)</f>
        <v>0</v>
      </c>
      <c r="L50" s="97">
        <f>L18</f>
        <v>62.25</v>
      </c>
      <c r="M50" s="73">
        <f>ROUND(L50*$F50,2)</f>
        <v>1093.73</v>
      </c>
      <c r="N50" s="16">
        <f t="shared" si="1"/>
        <v>1093.73</v>
      </c>
      <c r="O50" s="16">
        <f t="shared" si="2"/>
        <v>0</v>
      </c>
      <c r="P50" s="16"/>
      <c r="Q50" s="106">
        <f>Q18</f>
        <v>62.25</v>
      </c>
      <c r="S50" s="4">
        <v>0.4</v>
      </c>
      <c r="T50" s="1">
        <f t="shared" si="0"/>
        <v>24.900000000000002</v>
      </c>
    </row>
    <row r="51" spans="2:23" x14ac:dyDescent="0.25">
      <c r="B51" s="66" t="str">
        <f>ORCAMENTO!B73</f>
        <v>1903</v>
      </c>
      <c r="C51" s="67" t="str">
        <f>ORCAMENTO!C73</f>
        <v>SOBRE MADEIRA</v>
      </c>
      <c r="D51" s="68"/>
      <c r="E51" s="68"/>
      <c r="F51" s="69"/>
      <c r="G51" s="73"/>
      <c r="H51" s="97"/>
      <c r="I51" s="73"/>
      <c r="J51" s="97"/>
      <c r="K51" s="73"/>
      <c r="L51" s="97"/>
      <c r="M51" s="73"/>
      <c r="N51" s="16"/>
      <c r="O51" s="16"/>
      <c r="P51" s="16"/>
      <c r="Q51" s="106"/>
      <c r="T51" s="1">
        <f t="shared" si="0"/>
        <v>0</v>
      </c>
    </row>
    <row r="52" spans="2:23" ht="45" x14ac:dyDescent="0.25">
      <c r="B52" s="101" t="str">
        <f>ORCAMENTO!B74</f>
        <v>190301</v>
      </c>
      <c r="C52" s="72" t="str">
        <f>ORCAMENTO!C74</f>
        <v>Emassamento de esquadrias de madeira, com duas demãos de massa à base de óleo, marcas de referência Suvinil, Coral ou Metalatex</v>
      </c>
      <c r="D52" s="68" t="str">
        <f>ORCAMENTO!D74</f>
        <v>m2</v>
      </c>
      <c r="E52" s="68">
        <f>ORCAMENTO!E74</f>
        <v>33.39</v>
      </c>
      <c r="F52" s="69">
        <f>ORCAMENTO!F74</f>
        <v>17.7</v>
      </c>
      <c r="G52" s="73">
        <f>ROUND(E52*F52,2)</f>
        <v>591</v>
      </c>
      <c r="H52" s="97">
        <f>ROUND((H34*0.8*2.1*2)+(H35*0.9*2.1*1),2)</f>
        <v>0</v>
      </c>
      <c r="I52" s="73">
        <f>ROUND(H52*$F52,2)</f>
        <v>0</v>
      </c>
      <c r="J52" s="97">
        <f>ROUND((J34*0.8*2.1*2)+(J35*0.9*2.1*1),2)</f>
        <v>0</v>
      </c>
      <c r="K52" s="73">
        <f>ROUND(J52*$F52,2)</f>
        <v>0</v>
      </c>
      <c r="L52" s="97">
        <f>ROUND((L34*0.8*2.1*2)+(L35*0.9*2.1*1),2)</f>
        <v>33.39</v>
      </c>
      <c r="M52" s="73">
        <f>ROUND(L52*$F52,2)</f>
        <v>591</v>
      </c>
      <c r="N52" s="16">
        <f t="shared" si="1"/>
        <v>591</v>
      </c>
      <c r="O52" s="16">
        <f t="shared" si="2"/>
        <v>0</v>
      </c>
      <c r="P52" s="16"/>
      <c r="Q52" s="106">
        <f>ROUND((Q34*0.8*2.1*2)+(Q35*0.9*2.1*1),2)</f>
        <v>33.39</v>
      </c>
      <c r="S52" s="4">
        <v>0.35</v>
      </c>
      <c r="T52" s="1">
        <f t="shared" si="0"/>
        <v>11.686499999999999</v>
      </c>
    </row>
    <row r="53" spans="2:23" ht="45" x14ac:dyDescent="0.25">
      <c r="B53" s="108" t="str">
        <f>ORCAMENTO!B75</f>
        <v>190302</v>
      </c>
      <c r="C53" s="75" t="str">
        <f>ORCAMENTO!C75</f>
        <v>Pintura com tinta esmalte sintético, marcas de referência Suvinil, Coral ou Metalatex, inclusive fundo branco nivelador, em madeira, a duas demãos</v>
      </c>
      <c r="D53" s="76" t="str">
        <f>ORCAMENTO!D75</f>
        <v>m2</v>
      </c>
      <c r="E53" s="76">
        <f>ORCAMENTO!E75</f>
        <v>33.39</v>
      </c>
      <c r="F53" s="83">
        <f>ORCAMENTO!F75</f>
        <v>21.99</v>
      </c>
      <c r="G53" s="78">
        <f>ROUND(E53*F53,2)</f>
        <v>734.25</v>
      </c>
      <c r="H53" s="98">
        <f>H52</f>
        <v>0</v>
      </c>
      <c r="I53" s="78">
        <f>ROUND(H53*$F53,2)</f>
        <v>0</v>
      </c>
      <c r="J53" s="98">
        <f>J52</f>
        <v>0</v>
      </c>
      <c r="K53" s="78">
        <f>ROUND(J53*$F53,2)</f>
        <v>0</v>
      </c>
      <c r="L53" s="98">
        <f>L52</f>
        <v>33.39</v>
      </c>
      <c r="M53" s="78">
        <f>ROUND(L53*$F53,2)</f>
        <v>734.25</v>
      </c>
      <c r="N53" s="16">
        <f t="shared" si="1"/>
        <v>734.25</v>
      </c>
      <c r="O53" s="16">
        <f t="shared" si="2"/>
        <v>0</v>
      </c>
      <c r="P53" s="16"/>
      <c r="Q53" s="106">
        <f>Q52</f>
        <v>33.39</v>
      </c>
      <c r="S53" s="4">
        <v>0.4</v>
      </c>
      <c r="T53" s="1">
        <f t="shared" si="0"/>
        <v>13.356000000000002</v>
      </c>
    </row>
    <row r="54" spans="2:23" x14ac:dyDescent="0.25">
      <c r="B54" s="59"/>
      <c r="C54" s="13"/>
      <c r="D54" s="14"/>
      <c r="E54" s="14"/>
      <c r="F54" s="14"/>
      <c r="G54" s="55">
        <f>SUM(G14:G53)</f>
        <v>175891.32000000004</v>
      </c>
      <c r="H54" s="16"/>
      <c r="I54" s="16"/>
      <c r="J54" s="16"/>
      <c r="K54" s="16"/>
      <c r="L54" s="16"/>
      <c r="M54" s="60"/>
      <c r="N54" s="16"/>
      <c r="O54" s="16"/>
      <c r="P54" s="16"/>
      <c r="Q54" s="106"/>
      <c r="T54" s="4">
        <f>SUM(T15:T53)</f>
        <v>901.57267999999988</v>
      </c>
      <c r="V54" s="44">
        <f>365/7</f>
        <v>52.142857142857146</v>
      </c>
      <c r="W54" s="44" t="s">
        <v>148</v>
      </c>
    </row>
    <row r="55" spans="2:23" s="44" customFormat="1" ht="15.75" x14ac:dyDescent="0.25">
      <c r="B55" s="109" t="s">
        <v>64</v>
      </c>
      <c r="C55" s="110"/>
      <c r="D55" s="110"/>
      <c r="E55" s="110"/>
      <c r="F55" s="110"/>
      <c r="G55" s="111"/>
      <c r="H55" s="112">
        <f>I55/G54</f>
        <v>0.4798873531678538</v>
      </c>
      <c r="I55" s="111">
        <f>SUM(I14:I53)</f>
        <v>84408.02</v>
      </c>
      <c r="J55" s="112">
        <f>K55/G54</f>
        <v>0.40106180339086644</v>
      </c>
      <c r="K55" s="111">
        <f>SUM(K14:K53)</f>
        <v>70543.289999999994</v>
      </c>
      <c r="L55" s="112">
        <f>M55/G54</f>
        <v>0.1190508434412795</v>
      </c>
      <c r="M55" s="113">
        <f>SUM(M14:M53)</f>
        <v>20940.009999999998</v>
      </c>
      <c r="N55" s="16"/>
      <c r="O55" s="16"/>
      <c r="P55" s="16"/>
      <c r="Q55" s="106"/>
      <c r="S55" s="4"/>
      <c r="T55" s="1">
        <f>T54/44/V55</f>
        <v>4.7155731706102104</v>
      </c>
      <c r="U55" s="1" t="s">
        <v>150</v>
      </c>
      <c r="V55" s="1">
        <f>V54/12</f>
        <v>4.3452380952380958</v>
      </c>
      <c r="W55" s="1" t="s">
        <v>149</v>
      </c>
    </row>
    <row r="56" spans="2:23" ht="18.75" x14ac:dyDescent="0.25">
      <c r="B56" s="109" t="s">
        <v>65</v>
      </c>
      <c r="C56" s="110"/>
      <c r="D56" s="110"/>
      <c r="E56" s="110"/>
      <c r="F56" s="110"/>
      <c r="G56" s="111"/>
      <c r="H56" s="112">
        <f>I56/G54</f>
        <v>0.4798873531678538</v>
      </c>
      <c r="I56" s="111">
        <f>I55</f>
        <v>84408.02</v>
      </c>
      <c r="J56" s="112">
        <f>K56/G54</f>
        <v>0.8809491565587203</v>
      </c>
      <c r="K56" s="111">
        <f>K55+I56</f>
        <v>154951.31</v>
      </c>
      <c r="L56" s="112">
        <f>M56/G54</f>
        <v>0.99999999999999989</v>
      </c>
      <c r="M56" s="113">
        <f>M55+K56</f>
        <v>175891.32</v>
      </c>
      <c r="O56" s="104"/>
      <c r="P56" s="104"/>
      <c r="Q56" s="107"/>
      <c r="T56" s="1" t="s">
        <v>156</v>
      </c>
    </row>
  </sheetData>
  <mergeCells count="12">
    <mergeCell ref="B5:M5"/>
    <mergeCell ref="B6:M6"/>
    <mergeCell ref="N14:O14"/>
    <mergeCell ref="H13:I13"/>
    <mergeCell ref="J13:K13"/>
    <mergeCell ref="L13:M13"/>
    <mergeCell ref="B13:B14"/>
    <mergeCell ref="C13:C14"/>
    <mergeCell ref="D13:D14"/>
    <mergeCell ref="F13:F14"/>
    <mergeCell ref="E13:E14"/>
    <mergeCell ref="G13:G1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tToHeight="0" orientation="landscape" r:id="rId1"/>
  <headerFooter>
    <oddFooter>&amp;L&amp;F&amp;RPágina &amp;P de &amp;N</oddFooter>
  </headerFooter>
  <rowBreaks count="1" manualBreakCount="1">
    <brk id="35" min="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33"/>
  <sheetViews>
    <sheetView zoomScaleNormal="100" workbookViewId="0">
      <selection activeCell="B7" sqref="B7:K7"/>
    </sheetView>
  </sheetViews>
  <sheetFormatPr defaultRowHeight="15" x14ac:dyDescent="0.25"/>
  <cols>
    <col min="1" max="1" width="9.140625" style="1"/>
    <col min="2" max="2" width="61.5703125" style="1" bestFit="1" customWidth="1"/>
    <col min="3" max="3" width="9.140625" style="1"/>
    <col min="4" max="4" width="10.42578125" style="1" customWidth="1"/>
    <col min="5" max="5" width="11" style="1" customWidth="1"/>
    <col min="6" max="7" width="9.140625" style="1"/>
    <col min="8" max="8" width="10.85546875" style="1" bestFit="1" customWidth="1"/>
    <col min="9" max="16384" width="9.140625" style="1"/>
  </cols>
  <sheetData>
    <row r="2" spans="2:11" x14ac:dyDescent="0.25"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2:11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2:1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2:11" x14ac:dyDescent="0.25"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7" spans="2:11" ht="26.25" x14ac:dyDescent="0.25">
      <c r="B7" s="184" t="s">
        <v>137</v>
      </c>
      <c r="C7" s="184"/>
      <c r="D7" s="184"/>
      <c r="E7" s="184"/>
      <c r="F7" s="184"/>
      <c r="G7" s="184"/>
      <c r="H7" s="184"/>
      <c r="I7" s="184"/>
      <c r="J7" s="184"/>
      <c r="K7" s="184"/>
    </row>
    <row r="9" spans="2:11" x14ac:dyDescent="0.25">
      <c r="B9" s="185" t="s">
        <v>140</v>
      </c>
      <c r="C9" s="185"/>
      <c r="D9" s="185"/>
      <c r="E9" s="185"/>
      <c r="F9" s="185"/>
      <c r="G9" s="185"/>
      <c r="H9" s="185"/>
      <c r="I9" s="183" t="s">
        <v>68</v>
      </c>
      <c r="J9" s="183"/>
      <c r="K9" s="183"/>
    </row>
    <row r="10" spans="2:11" x14ac:dyDescent="0.25">
      <c r="B10" s="173" t="s">
        <v>181</v>
      </c>
      <c r="C10" s="173"/>
      <c r="D10" s="173"/>
      <c r="E10" s="173"/>
      <c r="F10" s="173"/>
      <c r="G10" s="173"/>
      <c r="H10" s="173"/>
      <c r="I10" s="173" t="s">
        <v>136</v>
      </c>
      <c r="J10" s="173"/>
      <c r="K10" s="173"/>
    </row>
    <row r="11" spans="2:11" x14ac:dyDescent="0.25">
      <c r="B11" s="173" t="s">
        <v>182</v>
      </c>
      <c r="C11" s="173"/>
      <c r="D11" s="173"/>
      <c r="E11" s="173"/>
      <c r="F11" s="173"/>
      <c r="G11" s="173"/>
      <c r="H11" s="173"/>
      <c r="I11" s="2"/>
      <c r="J11" s="2"/>
      <c r="K11" s="2"/>
    </row>
    <row r="12" spans="2:11" x14ac:dyDescent="0.25">
      <c r="B12" s="178"/>
      <c r="C12" s="178"/>
      <c r="D12" s="178"/>
      <c r="E12" s="178"/>
      <c r="F12" s="178"/>
      <c r="G12" s="178"/>
      <c r="H12" s="178"/>
      <c r="I12" s="178"/>
      <c r="J12" s="178"/>
      <c r="K12" s="178"/>
    </row>
    <row r="13" spans="2:11" x14ac:dyDescent="0.25">
      <c r="B13" s="45" t="s">
        <v>69</v>
      </c>
      <c r="C13" s="46" t="s">
        <v>70</v>
      </c>
      <c r="D13" s="46" t="s">
        <v>71</v>
      </c>
      <c r="E13" s="46" t="s">
        <v>72</v>
      </c>
      <c r="F13" s="46" t="s">
        <v>73</v>
      </c>
      <c r="G13" s="46" t="s">
        <v>74</v>
      </c>
      <c r="H13" s="46" t="s">
        <v>75</v>
      </c>
      <c r="I13" s="46" t="s">
        <v>76</v>
      </c>
      <c r="J13" s="46" t="s">
        <v>129</v>
      </c>
      <c r="K13" s="46" t="s">
        <v>77</v>
      </c>
    </row>
    <row r="14" spans="2:11" x14ac:dyDescent="0.25">
      <c r="B14" s="47" t="s">
        <v>130</v>
      </c>
      <c r="C14" s="48" t="s">
        <v>78</v>
      </c>
      <c r="D14" s="49" t="s">
        <v>134</v>
      </c>
      <c r="E14" s="48">
        <v>0.23200000000000001</v>
      </c>
      <c r="F14" s="48">
        <v>1</v>
      </c>
      <c r="G14" s="50">
        <v>5.42</v>
      </c>
      <c r="H14" s="50">
        <v>0</v>
      </c>
      <c r="I14" s="50">
        <f>ROUND(((F14*G14)+((1-F14)*H14))*(100%+$E$25%),2)</f>
        <v>12.38</v>
      </c>
      <c r="J14" s="50">
        <v>0</v>
      </c>
      <c r="K14" s="50">
        <f>ROUND(E14*I14*(1+J14),2)</f>
        <v>2.87</v>
      </c>
    </row>
    <row r="15" spans="2:11" x14ac:dyDescent="0.25">
      <c r="B15" s="47" t="s">
        <v>131</v>
      </c>
      <c r="C15" s="48" t="s">
        <v>78</v>
      </c>
      <c r="D15" s="49" t="s">
        <v>135</v>
      </c>
      <c r="E15" s="48">
        <v>0.23200000000000001</v>
      </c>
      <c r="F15" s="48">
        <v>1</v>
      </c>
      <c r="G15" s="50">
        <v>6.42</v>
      </c>
      <c r="H15" s="50">
        <v>0</v>
      </c>
      <c r="I15" s="50">
        <f>ROUND(((F15*G15)+((1-F15)*H15))*(100%+$E$25%),2)</f>
        <v>14.66</v>
      </c>
      <c r="J15" s="50">
        <v>0</v>
      </c>
      <c r="K15" s="50">
        <f>ROUND(E15*F15*I15,2)</f>
        <v>3.4</v>
      </c>
    </row>
    <row r="16" spans="2:11" x14ac:dyDescent="0.25">
      <c r="B16" s="179" t="s">
        <v>79</v>
      </c>
      <c r="C16" s="180"/>
      <c r="D16" s="180"/>
      <c r="E16" s="180"/>
      <c r="F16" s="180"/>
      <c r="G16" s="180"/>
      <c r="H16" s="180"/>
      <c r="I16" s="180"/>
      <c r="J16" s="181"/>
      <c r="K16" s="52">
        <f>SUM(K14:K15)</f>
        <v>6.27</v>
      </c>
    </row>
    <row r="17" spans="2:11" x14ac:dyDescent="0.25">
      <c r="B17" s="182"/>
      <c r="C17" s="182"/>
      <c r="D17" s="182"/>
      <c r="E17" s="182"/>
      <c r="F17" s="182"/>
      <c r="G17" s="182"/>
      <c r="H17" s="182"/>
      <c r="I17" s="182"/>
      <c r="J17" s="182"/>
      <c r="K17" s="182"/>
    </row>
    <row r="18" spans="2:11" x14ac:dyDescent="0.25">
      <c r="B18" s="45" t="s">
        <v>132</v>
      </c>
      <c r="C18" s="46" t="s">
        <v>70</v>
      </c>
      <c r="D18" s="46" t="s">
        <v>71</v>
      </c>
      <c r="E18" s="46" t="s">
        <v>72</v>
      </c>
      <c r="F18" s="46" t="s">
        <v>73</v>
      </c>
      <c r="G18" s="46" t="s">
        <v>74</v>
      </c>
      <c r="H18" s="46" t="s">
        <v>75</v>
      </c>
      <c r="I18" s="46" t="s">
        <v>76</v>
      </c>
      <c r="J18" s="46" t="s">
        <v>129</v>
      </c>
      <c r="K18" s="46" t="s">
        <v>77</v>
      </c>
    </row>
    <row r="19" spans="2:11" x14ac:dyDescent="0.25">
      <c r="B19" s="47" t="s">
        <v>138</v>
      </c>
      <c r="C19" s="48" t="s">
        <v>133</v>
      </c>
      <c r="D19" s="49" t="s">
        <v>139</v>
      </c>
      <c r="E19" s="48">
        <v>1</v>
      </c>
      <c r="F19" s="48">
        <v>1</v>
      </c>
      <c r="G19" s="50">
        <v>102.15</v>
      </c>
      <c r="H19" s="50">
        <v>0</v>
      </c>
      <c r="I19" s="50">
        <f>ROUND((F19*G19)+((1-F19)*H19),2)</f>
        <v>102.15</v>
      </c>
      <c r="J19" s="50">
        <v>0</v>
      </c>
      <c r="K19" s="50">
        <f>ROUND(E19*I19*(1+J19),2)</f>
        <v>102.15</v>
      </c>
    </row>
    <row r="20" spans="2:11" x14ac:dyDescent="0.25">
      <c r="B20" s="47" t="s">
        <v>145</v>
      </c>
      <c r="C20" s="48" t="s">
        <v>133</v>
      </c>
      <c r="D20" s="49" t="s">
        <v>144</v>
      </c>
      <c r="E20" s="48">
        <v>1</v>
      </c>
      <c r="F20" s="48">
        <v>1</v>
      </c>
      <c r="G20" s="50">
        <v>25.5</v>
      </c>
      <c r="H20" s="50">
        <v>0</v>
      </c>
      <c r="I20" s="50">
        <f>ROUND((F20*G20)+((1-F20)*H20),2)</f>
        <v>25.5</v>
      </c>
      <c r="J20" s="50">
        <v>1</v>
      </c>
      <c r="K20" s="50">
        <f>ROUND(E20*I20*(1+J20),2)</f>
        <v>51</v>
      </c>
    </row>
    <row r="21" spans="2:11" x14ac:dyDescent="0.25">
      <c r="B21" s="179" t="s">
        <v>79</v>
      </c>
      <c r="C21" s="180"/>
      <c r="D21" s="180"/>
      <c r="E21" s="180"/>
      <c r="F21" s="180"/>
      <c r="G21" s="180"/>
      <c r="H21" s="180"/>
      <c r="I21" s="180"/>
      <c r="J21" s="181"/>
      <c r="K21" s="52">
        <f>SUM(K19:K20)</f>
        <v>153.15</v>
      </c>
    </row>
    <row r="22" spans="2:11" x14ac:dyDescent="0.25">
      <c r="B22" s="182"/>
      <c r="C22" s="182"/>
      <c r="D22" s="182"/>
      <c r="E22" s="182"/>
      <c r="F22" s="182"/>
      <c r="G22" s="182"/>
      <c r="H22" s="182"/>
      <c r="I22" s="182"/>
      <c r="J22" s="182"/>
      <c r="K22" s="182"/>
    </row>
    <row r="23" spans="2:11" x14ac:dyDescent="0.25">
      <c r="B23" s="183" t="s">
        <v>80</v>
      </c>
      <c r="C23" s="183"/>
      <c r="D23" s="183"/>
      <c r="E23" s="183"/>
      <c r="F23" s="183"/>
    </row>
    <row r="24" spans="2:11" x14ac:dyDescent="0.25">
      <c r="B24" s="174" t="s">
        <v>60</v>
      </c>
      <c r="C24" s="175"/>
      <c r="D24" s="176"/>
      <c r="E24" s="46" t="s">
        <v>81</v>
      </c>
      <c r="F24" s="46" t="s">
        <v>82</v>
      </c>
    </row>
    <row r="25" spans="2:11" x14ac:dyDescent="0.25">
      <c r="B25" s="164" t="s">
        <v>83</v>
      </c>
      <c r="C25" s="165"/>
      <c r="D25" s="166"/>
      <c r="E25" s="167">
        <v>128.33000000000001</v>
      </c>
      <c r="F25" s="50">
        <f>K16</f>
        <v>6.27</v>
      </c>
    </row>
    <row r="26" spans="2:11" x14ac:dyDescent="0.25">
      <c r="B26" s="164" t="s">
        <v>84</v>
      </c>
      <c r="C26" s="165"/>
      <c r="D26" s="166"/>
      <c r="E26" s="177"/>
      <c r="F26" s="50">
        <f>K21</f>
        <v>153.15</v>
      </c>
    </row>
    <row r="27" spans="2:11" x14ac:dyDescent="0.25">
      <c r="B27" s="164" t="s">
        <v>85</v>
      </c>
      <c r="C27" s="165"/>
      <c r="D27" s="166"/>
      <c r="E27" s="177"/>
      <c r="F27" s="50">
        <v>0</v>
      </c>
    </row>
    <row r="28" spans="2:11" x14ac:dyDescent="0.25">
      <c r="B28" s="164" t="s">
        <v>86</v>
      </c>
      <c r="C28" s="165"/>
      <c r="D28" s="166"/>
      <c r="E28" s="177"/>
      <c r="F28" s="50">
        <f>F15</f>
        <v>1</v>
      </c>
    </row>
    <row r="29" spans="2:11" x14ac:dyDescent="0.25">
      <c r="B29" s="164" t="s">
        <v>87</v>
      </c>
      <c r="C29" s="165"/>
      <c r="D29" s="166"/>
      <c r="E29" s="177"/>
      <c r="F29" s="50">
        <f>F25+F27</f>
        <v>6.27</v>
      </c>
    </row>
    <row r="30" spans="2:11" x14ac:dyDescent="0.25">
      <c r="B30" s="164" t="s">
        <v>88</v>
      </c>
      <c r="C30" s="165"/>
      <c r="D30" s="166"/>
      <c r="E30" s="177"/>
      <c r="F30" s="50">
        <f>ROUND((F25/F28)+(F27/F28),2)</f>
        <v>6.27</v>
      </c>
    </row>
    <row r="31" spans="2:11" x14ac:dyDescent="0.25">
      <c r="B31" s="164" t="s">
        <v>89</v>
      </c>
      <c r="C31" s="165"/>
      <c r="D31" s="166"/>
      <c r="E31" s="168"/>
      <c r="F31" s="50">
        <f>F26+F30</f>
        <v>159.42000000000002</v>
      </c>
    </row>
    <row r="32" spans="2:11" x14ac:dyDescent="0.25">
      <c r="B32" s="164" t="s">
        <v>90</v>
      </c>
      <c r="C32" s="165"/>
      <c r="D32" s="166"/>
      <c r="E32" s="167">
        <v>30.9</v>
      </c>
      <c r="F32" s="50">
        <f>ROUND(F31*E32%,2)</f>
        <v>49.26</v>
      </c>
    </row>
    <row r="33" spans="2:6" x14ac:dyDescent="0.25">
      <c r="B33" s="169" t="s">
        <v>91</v>
      </c>
      <c r="C33" s="170"/>
      <c r="D33" s="171"/>
      <c r="E33" s="168"/>
      <c r="F33" s="51">
        <f>F31+F32</f>
        <v>208.68</v>
      </c>
    </row>
  </sheetData>
  <mergeCells count="28">
    <mergeCell ref="B7:K7"/>
    <mergeCell ref="B9:H9"/>
    <mergeCell ref="I9:K9"/>
    <mergeCell ref="I10:K10"/>
    <mergeCell ref="B30:D30"/>
    <mergeCell ref="B31:D31"/>
    <mergeCell ref="B12:K12"/>
    <mergeCell ref="B16:J16"/>
    <mergeCell ref="B17:K17"/>
    <mergeCell ref="B21:J21"/>
    <mergeCell ref="B22:K22"/>
    <mergeCell ref="B23:F23"/>
    <mergeCell ref="B32:D32"/>
    <mergeCell ref="E32:E33"/>
    <mergeCell ref="B33:D33"/>
    <mergeCell ref="B2:K2"/>
    <mergeCell ref="B3:K3"/>
    <mergeCell ref="B4:K4"/>
    <mergeCell ref="B5:K5"/>
    <mergeCell ref="B10:H10"/>
    <mergeCell ref="B11:H11"/>
    <mergeCell ref="B24:D24"/>
    <mergeCell ref="B25:D25"/>
    <mergeCell ref="E25:E31"/>
    <mergeCell ref="B26:D26"/>
    <mergeCell ref="B27:D27"/>
    <mergeCell ref="B28:D28"/>
    <mergeCell ref="B29:D29"/>
  </mergeCells>
  <printOptions horizontalCentered="1"/>
  <pageMargins left="0.98425196850393704" right="0.59055118110236227" top="0.59055118110236227" bottom="0.59055118110236227" header="0.31496062992125984" footer="0.31496062992125984"/>
  <pageSetup paperSize="9" scale="57" fitToHeight="0" orientation="portrait" r:id="rId1"/>
  <headerFooter scaleWithDoc="0" alignWithMargins="0">
    <oddFooter>&amp;L&amp;8&amp;F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ORCAMENTO</vt:lpstr>
      <vt:lpstr>MEM_CALCULO</vt:lpstr>
      <vt:lpstr>CRONOGRAMA</vt:lpstr>
      <vt:lpstr>comp_telha_policarb.</vt:lpstr>
      <vt:lpstr>comp_telha_policarb.!Area_de_impressao</vt:lpstr>
      <vt:lpstr>CRONOGRAMA!Area_de_impressao</vt:lpstr>
      <vt:lpstr>MEM_CALCULO!Area_de_impressao</vt:lpstr>
      <vt:lpstr>ORCAMENTO!Area_de_impressao</vt:lpstr>
      <vt:lpstr>CRONOGRAMA!Titulos_de_impressao</vt:lpstr>
      <vt:lpstr>MEM_CALCULO!Titulos_de_impressao</vt:lpstr>
      <vt:lpstr>ORCAMENTO!Titulos_de_impressao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Josiana Maria Cerutti</dc:creator>
  <cp:lastModifiedBy>Josiana Maria Cerutti</cp:lastModifiedBy>
  <cp:lastPrinted>2018-10-24T13:50:30Z</cp:lastPrinted>
  <dcterms:created xsi:type="dcterms:W3CDTF">2016-04-12T18:52:09Z</dcterms:created>
  <dcterms:modified xsi:type="dcterms:W3CDTF">2018-11-13T12:22:27Z</dcterms:modified>
</cp:coreProperties>
</file>